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\Desktop\Studio\"/>
    </mc:Choice>
  </mc:AlternateContent>
  <bookViews>
    <workbookView xWindow="0" yWindow="0" windowWidth="12960" windowHeight="7680"/>
  </bookViews>
  <sheets>
    <sheet name="Account Managment" sheetId="1" r:id="rId1"/>
    <sheet name="Weekly Savings" sheetId="2" r:id="rId2"/>
  </sheets>
  <definedNames>
    <definedName name="FYMonthStart">#REF!</definedName>
    <definedName name="FYStartYea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E53" i="2"/>
  <c r="F53" i="2"/>
  <c r="G53" i="2" s="1"/>
  <c r="D54" i="2"/>
  <c r="E54" i="2"/>
  <c r="F54" i="2"/>
  <c r="D55" i="2"/>
  <c r="E55" i="2"/>
  <c r="G55" i="2" s="1"/>
  <c r="F55" i="2"/>
  <c r="D56" i="2"/>
  <c r="E56" i="2"/>
  <c r="F56" i="2"/>
  <c r="G56" i="2" s="1"/>
  <c r="D57" i="2"/>
  <c r="E57" i="2"/>
  <c r="F57" i="2"/>
  <c r="D58" i="2"/>
  <c r="G58" i="2" s="1"/>
  <c r="E58" i="2"/>
  <c r="F58" i="2"/>
  <c r="D59" i="2"/>
  <c r="E59" i="2"/>
  <c r="F59" i="2"/>
  <c r="D60" i="2"/>
  <c r="E60" i="2"/>
  <c r="F60" i="2"/>
  <c r="G60" i="2" s="1"/>
  <c r="D61" i="2"/>
  <c r="E61" i="2"/>
  <c r="F61" i="2"/>
  <c r="D62" i="2"/>
  <c r="G62" i="2" s="1"/>
  <c r="E62" i="2"/>
  <c r="F62" i="2"/>
  <c r="D63" i="2"/>
  <c r="E63" i="2"/>
  <c r="G63" i="2" s="1"/>
  <c r="F63" i="2"/>
  <c r="D64" i="2"/>
  <c r="E64" i="2"/>
  <c r="F64" i="2"/>
  <c r="F65" i="2" s="1"/>
  <c r="C54" i="2"/>
  <c r="C55" i="2"/>
  <c r="C56" i="2"/>
  <c r="C57" i="2"/>
  <c r="G57" i="2" s="1"/>
  <c r="C58" i="2"/>
  <c r="C59" i="2"/>
  <c r="C60" i="2"/>
  <c r="C61" i="2"/>
  <c r="G61" i="2" s="1"/>
  <c r="C62" i="2"/>
  <c r="C63" i="2"/>
  <c r="C64" i="2"/>
  <c r="C65" i="2" s="1"/>
  <c r="D65" i="2"/>
  <c r="C53" i="2"/>
  <c r="G64" i="2"/>
  <c r="G59" i="2"/>
  <c r="G54" i="2"/>
  <c r="O30" i="2"/>
  <c r="Q47" i="2"/>
  <c r="Q46" i="2"/>
  <c r="Q45" i="2"/>
  <c r="Q44" i="2"/>
  <c r="Q43" i="2"/>
  <c r="Q42" i="2"/>
  <c r="Q41" i="2"/>
  <c r="Q40" i="2"/>
  <c r="Q39" i="2"/>
  <c r="Q38" i="2"/>
  <c r="Q37" i="2"/>
  <c r="Q36" i="2"/>
  <c r="G47" i="2"/>
  <c r="G46" i="2"/>
  <c r="G45" i="2"/>
  <c r="G44" i="2"/>
  <c r="G43" i="2"/>
  <c r="G42" i="2"/>
  <c r="G41" i="2"/>
  <c r="G40" i="2"/>
  <c r="G39" i="2"/>
  <c r="G38" i="2"/>
  <c r="G37" i="2"/>
  <c r="G36" i="2"/>
  <c r="F29" i="2"/>
  <c r="D29" i="2"/>
  <c r="C29" i="2"/>
  <c r="C18" i="2"/>
  <c r="D18" i="2"/>
  <c r="E18" i="2"/>
  <c r="F18" i="2"/>
  <c r="G17" i="2"/>
  <c r="G15" i="2"/>
  <c r="G16" i="2"/>
  <c r="G14" i="2"/>
  <c r="L31" i="2" s="1"/>
  <c r="G13" i="2"/>
  <c r="G12" i="2"/>
  <c r="G11" i="2"/>
  <c r="G10" i="2"/>
  <c r="H31" i="2" s="1"/>
  <c r="G9" i="2"/>
  <c r="G8" i="2"/>
  <c r="F31" i="2" s="1"/>
  <c r="G7" i="2"/>
  <c r="G6" i="2"/>
  <c r="D31" i="2" s="1"/>
  <c r="G5" i="2"/>
  <c r="O22" i="2"/>
  <c r="M29" i="2"/>
  <c r="N29" i="2"/>
  <c r="E29" i="2"/>
  <c r="G29" i="2"/>
  <c r="H29" i="2"/>
  <c r="I29" i="2"/>
  <c r="J29" i="2"/>
  <c r="K29" i="2"/>
  <c r="L29" i="2"/>
  <c r="J27" i="1"/>
  <c r="K27" i="1"/>
  <c r="L27" i="1"/>
  <c r="M27" i="1"/>
  <c r="N27" i="1"/>
  <c r="D27" i="1"/>
  <c r="E27" i="1"/>
  <c r="F27" i="1"/>
  <c r="G27" i="1"/>
  <c r="H27" i="1"/>
  <c r="I27" i="1"/>
  <c r="C27" i="1"/>
  <c r="E65" i="2" l="1"/>
  <c r="G65" i="2"/>
  <c r="E31" i="2"/>
  <c r="I31" i="2"/>
  <c r="N31" i="2"/>
  <c r="J31" i="2"/>
  <c r="M31" i="2"/>
  <c r="C31" i="2"/>
  <c r="G31" i="2"/>
  <c r="K31" i="2"/>
  <c r="Q48" i="2"/>
  <c r="G48" i="2"/>
  <c r="G18" i="2"/>
  <c r="O5" i="1"/>
  <c r="AD5" i="1" s="1"/>
  <c r="O6" i="1"/>
  <c r="O7" i="1"/>
  <c r="O8" i="1"/>
  <c r="O9" i="1"/>
  <c r="O10" i="1"/>
  <c r="O11" i="1"/>
  <c r="O32" i="1" l="1"/>
  <c r="D39" i="1"/>
  <c r="E39" i="1"/>
  <c r="F39" i="1"/>
  <c r="G39" i="1"/>
  <c r="H39" i="1"/>
  <c r="V32" i="1" s="1"/>
  <c r="I39" i="1"/>
  <c r="W32" i="1" s="1"/>
  <c r="J39" i="1"/>
  <c r="X32" i="1" s="1"/>
  <c r="K39" i="1"/>
  <c r="Y32" i="1" s="1"/>
  <c r="L39" i="1"/>
  <c r="Z32" i="1" s="1"/>
  <c r="M39" i="1"/>
  <c r="N39" i="1"/>
  <c r="AB32" i="1" s="1"/>
  <c r="C39" i="1"/>
  <c r="R32" i="1"/>
  <c r="S32" i="1"/>
  <c r="T32" i="1"/>
  <c r="P48" i="2"/>
  <c r="O48" i="2"/>
  <c r="N48" i="2"/>
  <c r="M48" i="2"/>
  <c r="F48" i="2"/>
  <c r="E48" i="2"/>
  <c r="D48" i="2"/>
  <c r="C48" i="2"/>
  <c r="O28" i="2"/>
  <c r="O27" i="2"/>
  <c r="O26" i="2"/>
  <c r="O25" i="2"/>
  <c r="O24" i="2"/>
  <c r="O23" i="2"/>
  <c r="Q32" i="1" l="1"/>
  <c r="AA32" i="1"/>
  <c r="U32" i="1"/>
  <c r="AE6" i="1" l="1"/>
  <c r="AE5" i="1"/>
  <c r="P16" i="1"/>
  <c r="AC16" i="1"/>
  <c r="P39" i="1"/>
  <c r="AB38" i="1"/>
  <c r="AA37" i="1"/>
  <c r="Z35" i="1"/>
  <c r="Y37" i="1"/>
  <c r="X38" i="1"/>
  <c r="W33" i="1"/>
  <c r="V38" i="1"/>
  <c r="U38" i="1"/>
  <c r="T38" i="1"/>
  <c r="S36" i="1"/>
  <c r="R34" i="1"/>
  <c r="Q38" i="1"/>
  <c r="O38" i="1"/>
  <c r="O37" i="1"/>
  <c r="O36" i="1"/>
  <c r="AA35" i="1"/>
  <c r="O35" i="1"/>
  <c r="S34" i="1"/>
  <c r="O34" i="1"/>
  <c r="O33" i="1"/>
  <c r="AB30" i="1"/>
  <c r="AA30" i="1"/>
  <c r="Z30" i="1"/>
  <c r="Y30" i="1"/>
  <c r="X30" i="1"/>
  <c r="W30" i="1"/>
  <c r="V30" i="1"/>
  <c r="U30" i="1"/>
  <c r="T30" i="1"/>
  <c r="S30" i="1"/>
  <c r="R30" i="1"/>
  <c r="Q30" i="1"/>
  <c r="P27" i="1"/>
  <c r="Z26" i="1"/>
  <c r="Y26" i="1"/>
  <c r="W26" i="1"/>
  <c r="V22" i="1"/>
  <c r="R25" i="1"/>
  <c r="O26" i="1"/>
  <c r="O25" i="1"/>
  <c r="O24" i="1"/>
  <c r="O23" i="1"/>
  <c r="O22" i="1"/>
  <c r="AA21" i="1"/>
  <c r="O21" i="1"/>
  <c r="O20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AD11" i="1"/>
  <c r="AD10" i="1"/>
  <c r="AD9" i="1"/>
  <c r="AD8" i="1"/>
  <c r="AE7" i="1"/>
  <c r="AA25" i="1" l="1"/>
  <c r="AA23" i="1"/>
  <c r="AA20" i="1"/>
  <c r="AA22" i="1"/>
  <c r="AA24" i="1"/>
  <c r="AA26" i="1"/>
  <c r="O12" i="1"/>
  <c r="O13" i="1"/>
  <c r="S20" i="1"/>
  <c r="S21" i="1"/>
  <c r="S22" i="1"/>
  <c r="S23" i="1"/>
  <c r="S24" i="1"/>
  <c r="S25" i="1"/>
  <c r="S26" i="1"/>
  <c r="W20" i="1"/>
  <c r="W21" i="1"/>
  <c r="W22" i="1"/>
  <c r="W23" i="1"/>
  <c r="W24" i="1"/>
  <c r="W25" i="1"/>
  <c r="R22" i="1"/>
  <c r="Z21" i="1"/>
  <c r="R20" i="1"/>
  <c r="Z23" i="1"/>
  <c r="V26" i="1"/>
  <c r="Z33" i="1"/>
  <c r="V37" i="1"/>
  <c r="V36" i="1"/>
  <c r="N14" i="1"/>
  <c r="C15" i="1"/>
  <c r="G15" i="1"/>
  <c r="K14" i="1"/>
  <c r="F15" i="1"/>
  <c r="D15" i="1"/>
  <c r="H15" i="1"/>
  <c r="L15" i="1"/>
  <c r="U33" i="1"/>
  <c r="K15" i="1"/>
  <c r="J14" i="1"/>
  <c r="I14" i="1"/>
  <c r="M14" i="1"/>
  <c r="AA34" i="1"/>
  <c r="U37" i="1"/>
  <c r="W38" i="1"/>
  <c r="C14" i="1"/>
  <c r="G14" i="1"/>
  <c r="N15" i="1"/>
  <c r="J15" i="1"/>
  <c r="H14" i="1"/>
  <c r="D14" i="1"/>
  <c r="S13" i="1"/>
  <c r="V20" i="1"/>
  <c r="R21" i="1"/>
  <c r="R23" i="1"/>
  <c r="Z24" i="1"/>
  <c r="V25" i="1"/>
  <c r="AA33" i="1"/>
  <c r="F14" i="1"/>
  <c r="M15" i="1"/>
  <c r="I15" i="1"/>
  <c r="L14" i="1"/>
  <c r="Z22" i="1"/>
  <c r="U26" i="1"/>
  <c r="S33" i="1"/>
  <c r="U35" i="1"/>
  <c r="W36" i="1"/>
  <c r="W37" i="1"/>
  <c r="E14" i="1"/>
  <c r="E15" i="1"/>
  <c r="Q13" i="1"/>
  <c r="P13" i="1"/>
  <c r="AB13" i="1"/>
  <c r="T13" i="1"/>
  <c r="W13" i="1"/>
  <c r="AD7" i="1"/>
  <c r="AF7" i="1" s="1"/>
  <c r="AG7" i="1" s="1"/>
  <c r="Z13" i="1"/>
  <c r="V13" i="1"/>
  <c r="R13" i="1"/>
  <c r="X13" i="1"/>
  <c r="AA13" i="1"/>
  <c r="AC13" i="1"/>
  <c r="Y13" i="1"/>
  <c r="U13" i="1"/>
  <c r="AE9" i="1"/>
  <c r="AF9" i="1" s="1"/>
  <c r="AG9" i="1" s="1"/>
  <c r="AD6" i="1"/>
  <c r="AF6" i="1" s="1"/>
  <c r="AG6" i="1" s="1"/>
  <c r="AE8" i="1"/>
  <c r="AF8" i="1" s="1"/>
  <c r="AG8" i="1" s="1"/>
  <c r="AE11" i="1"/>
  <c r="AE10" i="1"/>
  <c r="AF10" i="1" s="1"/>
  <c r="AG10" i="1" s="1"/>
  <c r="AF5" i="1"/>
  <c r="AG5" i="1" s="1"/>
  <c r="V34" i="1"/>
  <c r="R37" i="1"/>
  <c r="R38" i="1"/>
  <c r="Z20" i="1"/>
  <c r="U22" i="1"/>
  <c r="V23" i="1"/>
  <c r="V24" i="1"/>
  <c r="R26" i="1"/>
  <c r="V33" i="1"/>
  <c r="W34" i="1"/>
  <c r="R35" i="1"/>
  <c r="W35" i="1"/>
  <c r="R36" i="1"/>
  <c r="Z36" i="1"/>
  <c r="S37" i="1"/>
  <c r="Z37" i="1"/>
  <c r="S38" i="1"/>
  <c r="AA38" i="1"/>
  <c r="U24" i="1"/>
  <c r="V35" i="1"/>
  <c r="Z38" i="1"/>
  <c r="U20" i="1"/>
  <c r="V21" i="1"/>
  <c r="R24" i="1"/>
  <c r="Z25" i="1"/>
  <c r="R33" i="1"/>
  <c r="Z34" i="1"/>
  <c r="S35" i="1"/>
  <c r="AA36" i="1"/>
  <c r="Q20" i="1"/>
  <c r="Y21" i="1"/>
  <c r="Q22" i="1"/>
  <c r="Y23" i="1"/>
  <c r="Q24" i="1"/>
  <c r="Y25" i="1"/>
  <c r="Q26" i="1"/>
  <c r="Q33" i="1"/>
  <c r="Y34" i="1"/>
  <c r="Q35" i="1"/>
  <c r="Y36" i="1"/>
  <c r="Q37" i="1"/>
  <c r="Y38" i="1"/>
  <c r="U21" i="1"/>
  <c r="U23" i="1"/>
  <c r="U25" i="1"/>
  <c r="O39" i="1"/>
  <c r="U34" i="1"/>
  <c r="U36" i="1"/>
  <c r="Y20" i="1"/>
  <c r="Q21" i="1"/>
  <c r="Y22" i="1"/>
  <c r="Q23" i="1"/>
  <c r="Y24" i="1"/>
  <c r="Q25" i="1"/>
  <c r="Y33" i="1"/>
  <c r="Q34" i="1"/>
  <c r="Y35" i="1"/>
  <c r="Q36" i="1"/>
  <c r="T20" i="1"/>
  <c r="X20" i="1"/>
  <c r="AB20" i="1"/>
  <c r="T22" i="1"/>
  <c r="X22" i="1"/>
  <c r="AB22" i="1"/>
  <c r="T24" i="1"/>
  <c r="X24" i="1"/>
  <c r="AB24" i="1"/>
  <c r="T26" i="1"/>
  <c r="X26" i="1"/>
  <c r="AB26" i="1"/>
  <c r="O27" i="1"/>
  <c r="T33" i="1"/>
  <c r="X33" i="1"/>
  <c r="AB33" i="1"/>
  <c r="T35" i="1"/>
  <c r="X35" i="1"/>
  <c r="AB35" i="1"/>
  <c r="T37" i="1"/>
  <c r="X37" i="1"/>
  <c r="AB37" i="1"/>
  <c r="T21" i="1"/>
  <c r="X21" i="1"/>
  <c r="AB21" i="1"/>
  <c r="T23" i="1"/>
  <c r="X23" i="1"/>
  <c r="AB23" i="1"/>
  <c r="T25" i="1"/>
  <c r="X25" i="1"/>
  <c r="AB25" i="1"/>
  <c r="T34" i="1"/>
  <c r="X34" i="1"/>
  <c r="AB34" i="1"/>
  <c r="T36" i="1"/>
  <c r="X36" i="1"/>
  <c r="AB36" i="1"/>
  <c r="AA27" i="1" l="1"/>
  <c r="S27" i="1"/>
  <c r="O15" i="1"/>
  <c r="AC15" i="1" s="1"/>
  <c r="W27" i="1"/>
  <c r="AF11" i="1"/>
  <c r="AF14" i="1" s="1"/>
  <c r="AE14" i="1"/>
  <c r="Q14" i="1"/>
  <c r="U14" i="1"/>
  <c r="Y14" i="1"/>
  <c r="AC14" i="1"/>
  <c r="T14" i="1"/>
  <c r="R14" i="1"/>
  <c r="V14" i="1"/>
  <c r="Z14" i="1"/>
  <c r="O14" i="1"/>
  <c r="O16" i="1" s="1"/>
  <c r="S14" i="1"/>
  <c r="W14" i="1"/>
  <c r="AA14" i="1"/>
  <c r="P14" i="1"/>
  <c r="X14" i="1"/>
  <c r="AB14" i="1"/>
  <c r="AD14" i="1"/>
  <c r="AC35" i="1"/>
  <c r="AC32" i="1"/>
  <c r="L16" i="1"/>
  <c r="L40" i="1" s="1"/>
  <c r="H16" i="1"/>
  <c r="H40" i="1" s="1"/>
  <c r="AA39" i="1"/>
  <c r="Z39" i="1"/>
  <c r="K16" i="1"/>
  <c r="K40" i="1" s="1"/>
  <c r="Z7" i="1"/>
  <c r="Z6" i="1"/>
  <c r="Z9" i="1"/>
  <c r="Z12" i="1"/>
  <c r="V12" i="1"/>
  <c r="I16" i="1"/>
  <c r="I40" i="1" s="1"/>
  <c r="M16" i="1"/>
  <c r="M40" i="1" s="1"/>
  <c r="J16" i="1"/>
  <c r="J40" i="1" s="1"/>
  <c r="G16" i="1"/>
  <c r="G40" i="1" s="1"/>
  <c r="N16" i="1"/>
  <c r="N40" i="1" s="1"/>
  <c r="F16" i="1"/>
  <c r="F40" i="1" s="1"/>
  <c r="E16" i="1"/>
  <c r="D16" i="1"/>
  <c r="D40" i="1" s="1"/>
  <c r="C16" i="1"/>
  <c r="V27" i="1"/>
  <c r="AC38" i="1"/>
  <c r="AD13" i="1"/>
  <c r="AE13" i="1"/>
  <c r="AD12" i="1"/>
  <c r="AE12" i="1"/>
  <c r="S39" i="1"/>
  <c r="AC36" i="1"/>
  <c r="Q39" i="1"/>
  <c r="Y39" i="1"/>
  <c r="R27" i="1"/>
  <c r="AC33" i="1"/>
  <c r="Z27" i="1"/>
  <c r="R39" i="1"/>
  <c r="AC34" i="1"/>
  <c r="U27" i="1"/>
  <c r="W39" i="1"/>
  <c r="V39" i="1"/>
  <c r="X39" i="1"/>
  <c r="T27" i="1"/>
  <c r="Q27" i="1"/>
  <c r="AC37" i="1"/>
  <c r="Y27" i="1"/>
  <c r="U39" i="1"/>
  <c r="AC23" i="1"/>
  <c r="AC21" i="1"/>
  <c r="AC25" i="1"/>
  <c r="T39" i="1"/>
  <c r="AC20" i="1"/>
  <c r="AB27" i="1"/>
  <c r="AC22" i="1"/>
  <c r="AB39" i="1"/>
  <c r="X27" i="1"/>
  <c r="AC24" i="1"/>
  <c r="AC26" i="1"/>
  <c r="AG11" i="1" l="1"/>
  <c r="AG14" i="1" s="1"/>
  <c r="C28" i="1"/>
  <c r="C40" i="1"/>
  <c r="V5" i="1"/>
  <c r="Z10" i="1"/>
  <c r="V8" i="1"/>
  <c r="V9" i="1"/>
  <c r="Z15" i="1"/>
  <c r="Z8" i="1"/>
  <c r="L28" i="1"/>
  <c r="Z5" i="1"/>
  <c r="S15" i="1"/>
  <c r="E40" i="1"/>
  <c r="Z11" i="1"/>
  <c r="V11" i="1"/>
  <c r="AE16" i="1"/>
  <c r="V15" i="1"/>
  <c r="V6" i="1"/>
  <c r="V10" i="1"/>
  <c r="H28" i="1"/>
  <c r="V7" i="1"/>
  <c r="AD16" i="1"/>
  <c r="Y15" i="1"/>
  <c r="Y8" i="1"/>
  <c r="Y9" i="1"/>
  <c r="Y12" i="1"/>
  <c r="Y10" i="1"/>
  <c r="K28" i="1"/>
  <c r="Y11" i="1"/>
  <c r="Y5" i="1"/>
  <c r="Y6" i="1"/>
  <c r="Y7" i="1"/>
  <c r="O28" i="1"/>
  <c r="AB11" i="1"/>
  <c r="AB9" i="1"/>
  <c r="N28" i="1"/>
  <c r="AB8" i="1"/>
  <c r="AB10" i="1"/>
  <c r="AB5" i="1"/>
  <c r="AB12" i="1"/>
  <c r="AB6" i="1"/>
  <c r="AB7" i="1"/>
  <c r="AA8" i="1"/>
  <c r="AA11" i="1"/>
  <c r="AA10" i="1"/>
  <c r="M28" i="1"/>
  <c r="AA12" i="1"/>
  <c r="AA5" i="1"/>
  <c r="AA9" i="1"/>
  <c r="AA6" i="1"/>
  <c r="AA7" i="1"/>
  <c r="W10" i="1"/>
  <c r="W8" i="1"/>
  <c r="W5" i="1"/>
  <c r="W11" i="1"/>
  <c r="W9" i="1"/>
  <c r="W7" i="1"/>
  <c r="I28" i="1"/>
  <c r="W12" i="1"/>
  <c r="W6" i="1"/>
  <c r="Q7" i="1"/>
  <c r="Q15" i="1"/>
  <c r="Q5" i="1"/>
  <c r="Q8" i="1"/>
  <c r="Q12" i="1"/>
  <c r="Q6" i="1"/>
  <c r="Q11" i="1"/>
  <c r="Q10" i="1"/>
  <c r="Q9" i="1"/>
  <c r="S7" i="1"/>
  <c r="S6" i="1"/>
  <c r="S8" i="1"/>
  <c r="S11" i="1"/>
  <c r="S5" i="1"/>
  <c r="S9" i="1"/>
  <c r="E28" i="1"/>
  <c r="S10" i="1"/>
  <c r="S12" i="1"/>
  <c r="AB15" i="1"/>
  <c r="U10" i="1"/>
  <c r="U9" i="1"/>
  <c r="U6" i="1"/>
  <c r="G28" i="1"/>
  <c r="U15" i="1"/>
  <c r="U8" i="1"/>
  <c r="U7" i="1"/>
  <c r="U11" i="1"/>
  <c r="U12" i="1"/>
  <c r="U5" i="1"/>
  <c r="AA15" i="1"/>
  <c r="R6" i="1"/>
  <c r="R11" i="1"/>
  <c r="R10" i="1"/>
  <c r="R9" i="1"/>
  <c r="R8" i="1"/>
  <c r="R7" i="1"/>
  <c r="R5" i="1"/>
  <c r="D28" i="1"/>
  <c r="R12" i="1"/>
  <c r="R15" i="1"/>
  <c r="X8" i="1"/>
  <c r="X9" i="1"/>
  <c r="X6" i="1"/>
  <c r="X11" i="1"/>
  <c r="X10" i="1"/>
  <c r="J28" i="1"/>
  <c r="X5" i="1"/>
  <c r="X12" i="1"/>
  <c r="X7" i="1"/>
  <c r="T5" i="1"/>
  <c r="T9" i="1"/>
  <c r="T10" i="1"/>
  <c r="T12" i="1"/>
  <c r="T7" i="1"/>
  <c r="T15" i="1"/>
  <c r="T11" i="1"/>
  <c r="T6" i="1"/>
  <c r="F28" i="1"/>
  <c r="T8" i="1"/>
  <c r="X15" i="1"/>
  <c r="W15" i="1"/>
  <c r="AF13" i="1"/>
  <c r="AG13" i="1" s="1"/>
  <c r="AF12" i="1"/>
  <c r="AC39" i="1"/>
  <c r="AC27" i="1"/>
  <c r="O40" i="1" l="1"/>
  <c r="AG12" i="1"/>
  <c r="AF16" i="1"/>
  <c r="AG16" i="1" s="1"/>
  <c r="V16" i="1"/>
  <c r="Z16" i="1"/>
  <c r="R16" i="1"/>
  <c r="Y16" i="1"/>
  <c r="X16" i="1"/>
  <c r="Q16" i="1"/>
  <c r="U16" i="1"/>
  <c r="W16" i="1"/>
  <c r="AB16" i="1"/>
  <c r="T16" i="1"/>
  <c r="S16" i="1"/>
  <c r="AA16" i="1"/>
  <c r="O29" i="2"/>
  <c r="O31" i="2" s="1"/>
</calcChain>
</file>

<file path=xl/comments1.xml><?xml version="1.0" encoding="utf-8"?>
<comments xmlns="http://schemas.openxmlformats.org/spreadsheetml/2006/main">
  <authors>
    <author>April Stephenson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April Stephenson:</t>
        </r>
        <r>
          <rPr>
            <sz val="9"/>
            <color indexed="81"/>
            <rFont val="Tahoma"/>
            <charset val="1"/>
          </rPr>
          <t xml:space="preserve">
Mon-Fri: 10am-9pm
Sat: 11am-3pm
Sun: Off
Mini album = $2,500
Full Album = $5,000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12.4% of Income</t>
        </r>
      </text>
    </comment>
    <comment ref="AE5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2.9% on Income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April Stephenson:</t>
        </r>
        <r>
          <rPr>
            <sz val="9"/>
            <color indexed="81"/>
            <rFont val="Tahoma"/>
            <family val="2"/>
          </rPr>
          <t xml:space="preserve">
Mon-Sun: $150 a day
Rent Due Every Friday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April Stephenson:</t>
        </r>
        <r>
          <rPr>
            <sz val="9"/>
            <color indexed="81"/>
            <rFont val="Tahoma"/>
            <charset val="1"/>
          </rPr>
          <t xml:space="preserve">
Monthly Spending to be kept at $5000
</t>
        </r>
      </text>
    </comment>
  </commentList>
</comments>
</file>

<file path=xl/comments2.xml><?xml version="1.0" encoding="utf-8"?>
<comments xmlns="http://schemas.openxmlformats.org/spreadsheetml/2006/main">
  <authors>
    <author>April Stephenson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April Stephenson:</t>
        </r>
        <r>
          <rPr>
            <sz val="9"/>
            <color indexed="81"/>
            <rFont val="Tahoma"/>
            <charset val="1"/>
          </rPr>
          <t xml:space="preserve">
Rental Studios Handle Rent for All Studios and Home
</t>
        </r>
      </text>
    </comment>
  </commentList>
</comments>
</file>

<file path=xl/sharedStrings.xml><?xml version="1.0" encoding="utf-8"?>
<sst xmlns="http://schemas.openxmlformats.org/spreadsheetml/2006/main" count="305" uniqueCount="85">
  <si>
    <t>Checking</t>
  </si>
  <si>
    <t>FISCAL YEAR BEGINS:</t>
  </si>
  <si>
    <t>MAR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</si>
  <si>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</si>
  <si>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</si>
  <si>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</si>
  <si>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</si>
  <si>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</si>
  <si>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</si>
  <si>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</si>
  <si>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</si>
  <si>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</si>
  <si>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</si>
  <si>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</si>
  <si>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</si>
  <si>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</t>
  </si>
  <si>
    <t>IND %</t>
  </si>
  <si>
    <t>YEAR %</t>
  </si>
  <si>
    <t>Income</t>
  </si>
  <si>
    <t>TREND</t>
  </si>
  <si>
    <t>Yearly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</si>
  <si>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</si>
  <si>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</si>
  <si>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</si>
  <si>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</si>
  <si>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</si>
  <si>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</si>
  <si>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</si>
  <si>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</si>
  <si>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</si>
  <si>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</si>
  <si>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</si>
  <si>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</si>
  <si>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</si>
  <si>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</si>
  <si>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Private Studio</t>
  </si>
  <si>
    <t>North Hollywood</t>
  </si>
  <si>
    <t>Los Angeles</t>
  </si>
  <si>
    <t>Long Beach</t>
  </si>
  <si>
    <t>San Clemente</t>
  </si>
  <si>
    <t>San Diego</t>
  </si>
  <si>
    <t>Riverside</t>
  </si>
  <si>
    <t>TOTAL PRIVATE</t>
  </si>
  <si>
    <t>TOTAL STUDIOS</t>
  </si>
  <si>
    <t>Rent</t>
  </si>
  <si>
    <t>FISCAL YEAR :</t>
  </si>
  <si>
    <t>Expenses</t>
  </si>
  <si>
    <t>Gross Profit</t>
  </si>
  <si>
    <t>Savings</t>
  </si>
  <si>
    <t xml:space="preserve"> </t>
  </si>
  <si>
    <t>Twelve Month 2027</t>
  </si>
  <si>
    <t>FICA Tax</t>
  </si>
  <si>
    <t>Total Taxes</t>
  </si>
  <si>
    <t>Taxes</t>
  </si>
  <si>
    <t>Monthly (Gross)</t>
  </si>
  <si>
    <t>Monthly (Net)</t>
  </si>
  <si>
    <t>Rental Studios</t>
  </si>
  <si>
    <t>Income:</t>
  </si>
  <si>
    <t>Friday 1</t>
  </si>
  <si>
    <t>Friday 2</t>
  </si>
  <si>
    <t>Friday 3</t>
  </si>
  <si>
    <t>Friday 4</t>
  </si>
  <si>
    <t>Fed</t>
  </si>
  <si>
    <t>March</t>
  </si>
  <si>
    <t>April</t>
  </si>
  <si>
    <t>June</t>
  </si>
  <si>
    <t>July</t>
  </si>
  <si>
    <t>Sept</t>
  </si>
  <si>
    <t>Total Sales</t>
  </si>
  <si>
    <t>HollyWood</t>
  </si>
  <si>
    <t>Total Cost</t>
  </si>
  <si>
    <t>Week 1</t>
  </si>
  <si>
    <t>Week 2</t>
  </si>
  <si>
    <t>Week 3</t>
  </si>
  <si>
    <t>Week 4</t>
  </si>
  <si>
    <t xml:space="preserve"> Monthly Checking</t>
  </si>
  <si>
    <t>Yearly Gross</t>
  </si>
  <si>
    <t>Medicare</t>
  </si>
  <si>
    <t>Yearly Net</t>
  </si>
  <si>
    <t>Yearly Rent</t>
  </si>
  <si>
    <t>Private Studio/Home</t>
  </si>
  <si>
    <t>TOTAL COST OF RENT</t>
  </si>
  <si>
    <t>Remaing 4 weeks</t>
  </si>
  <si>
    <t>Extra 4 weeks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</si>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</sst>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;;;"/>
    <numFmt numFmtId="165" formatCode="0%;;&quot;-&quot;;"/>
    <numFmt numFmtId="166" formatCode="_(&quot;$&quot;* #,##0.000_);_(&quot;$&quot;* \(#,##0.000\);_(&quot;$&quot;* &quot;-&quot;???_);_(@_)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22"/>
      <color theme="7"/>
      <name val="Calibri Light"/>
      <family val="1"/>
      <scheme val="major"/>
    </font>
    <font>
      <b/>
      <sz val="26"/>
      <color theme="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6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>
      <alignment horizontal="right" indent="1"/>
    </xf>
    <xf numFmtId="0" fontId="1" fillId="0" borderId="0">
      <alignment horizontal="right" wrapText="1" indent="1"/>
    </xf>
    <xf numFmtId="42" fontId="1" fillId="3" borderId="4" applyNumberFormat="0" applyFont="0" applyAlignment="0">
      <alignment horizontal="center"/>
    </xf>
    <xf numFmtId="42" fontId="12" fillId="5" borderId="4" applyNumberFormat="0" applyFont="0" applyAlignment="0"/>
    <xf numFmtId="0" fontId="13" fillId="6" borderId="0">
      <alignment horizontal="right" vertical="center" indent="1"/>
    </xf>
    <xf numFmtId="42" fontId="6" fillId="6" borderId="0" applyBorder="0" applyAlignment="0" applyProtection="0"/>
    <xf numFmtId="9" fontId="6" fillId="6" borderId="0" applyBorder="0" applyAlignment="0" applyProtection="0"/>
    <xf numFmtId="42" fontId="12" fillId="7" borderId="4" applyNumberFormat="0" applyFont="0" applyAlignment="0"/>
  </cellStyleXfs>
  <cellXfs count="119">
    <xf numFmtId="0" fontId="0" fillId="0" borderId="0" xfId="0"/>
    <xf numFmtId="0" fontId="3" fillId="0" borderId="1" xfId="4" applyAlignment="1">
      <alignment vertical="center"/>
    </xf>
    <xf numFmtId="0" fontId="0" fillId="0" borderId="0" xfId="0" applyAlignment="1">
      <alignment horizontal="center"/>
    </xf>
    <xf numFmtId="10" fontId="7" fillId="0" borderId="0" xfId="0" applyNumberFormat="1" applyFont="1" applyBorder="1" applyAlignment="1">
      <alignment horizontal="right" vertical="center"/>
    </xf>
    <xf numFmtId="10" fontId="4" fillId="0" borderId="2" xfId="5" applyNumberFormat="1" applyAlignment="1">
      <alignment horizontal="right" vertical="center"/>
    </xf>
    <xf numFmtId="0" fontId="2" fillId="0" borderId="0" xfId="3" applyBorder="1" applyAlignment="1">
      <alignment vertical="center"/>
    </xf>
    <xf numFmtId="0" fontId="8" fillId="0" borderId="0" xfId="0" applyFont="1" applyBorder="1" applyAlignment="1">
      <alignment vertical="center"/>
    </xf>
    <xf numFmtId="10" fontId="0" fillId="0" borderId="0" xfId="0" applyNumberFormat="1"/>
    <xf numFmtId="10" fontId="9" fillId="0" borderId="0" xfId="0" applyNumberFormat="1" applyFont="1"/>
    <xf numFmtId="10" fontId="5" fillId="0" borderId="3" xfId="6" applyNumberFormat="1" applyAlignment="1">
      <alignment horizontal="right" vertical="center"/>
    </xf>
    <xf numFmtId="14" fontId="5" fillId="0" borderId="3" xfId="6" applyNumberFormat="1" applyAlignment="1">
      <alignment horizontal="right" vertical="center"/>
    </xf>
    <xf numFmtId="0" fontId="10" fillId="0" borderId="0" xfId="8">
      <alignment horizontal="right" indent="1"/>
    </xf>
    <xf numFmtId="164" fontId="0" fillId="0" borderId="0" xfId="0" applyNumberFormat="1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0" fillId="0" borderId="0" xfId="9" applyFont="1">
      <alignment horizontal="right" wrapText="1" indent="1"/>
    </xf>
    <xf numFmtId="0" fontId="11" fillId="3" borderId="4" xfId="10" applyNumberFormat="1" applyFont="1" applyAlignment="1">
      <alignment horizontal="center"/>
    </xf>
    <xf numFmtId="42" fontId="1" fillId="0" borderId="0" xfId="1" applyFill="1" applyBorder="1"/>
    <xf numFmtId="44" fontId="1" fillId="3" borderId="4" xfId="1" applyNumberFormat="1" applyFill="1" applyBorder="1" applyAlignment="1">
      <alignment horizontal="right"/>
    </xf>
    <xf numFmtId="10" fontId="1" fillId="0" borderId="0" xfId="2" applyNumberFormat="1" applyFill="1" applyBorder="1" applyAlignment="1">
      <alignment horizontal="right"/>
    </xf>
    <xf numFmtId="10" fontId="1" fillId="3" borderId="4" xfId="2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44" fontId="1" fillId="3" borderId="0" xfId="1" applyNumberFormat="1" applyFill="1" applyBorder="1" applyAlignment="1">
      <alignment horizontal="right"/>
    </xf>
    <xf numFmtId="10" fontId="1" fillId="3" borderId="0" xfId="2" applyNumberFormat="1" applyFill="1" applyBorder="1" applyAlignment="1">
      <alignment horizontal="right"/>
    </xf>
    <xf numFmtId="0" fontId="0" fillId="4" borderId="0" xfId="0" applyFont="1" applyFill="1" applyBorder="1" applyAlignment="1">
      <alignment horizontal="right" indent="1"/>
    </xf>
    <xf numFmtId="0" fontId="0" fillId="4" borderId="0" xfId="0" applyFont="1" applyFill="1" applyBorder="1"/>
    <xf numFmtId="44" fontId="0" fillId="4" borderId="0" xfId="0" applyNumberFormat="1" applyFont="1" applyFill="1" applyBorder="1" applyAlignment="1">
      <alignment horizontal="right"/>
    </xf>
    <xf numFmtId="0" fontId="9" fillId="0" borderId="0" xfId="0" applyFont="1"/>
    <xf numFmtId="0" fontId="5" fillId="0" borderId="3" xfId="6" applyAlignment="1">
      <alignment horizontal="right" vertical="center"/>
    </xf>
    <xf numFmtId="0" fontId="5" fillId="0" borderId="0" xfId="7" applyAlignment="1">
      <alignment horizontal="center" vertical="center"/>
    </xf>
    <xf numFmtId="164" fontId="0" fillId="0" borderId="0" xfId="0" applyNumberFormat="1" applyFont="1" applyFill="1" applyBorder="1" applyAlignment="1">
      <alignment horizontal="right"/>
    </xf>
    <xf numFmtId="0" fontId="0" fillId="5" borderId="4" xfId="11" applyNumberFormat="1" applyFont="1"/>
    <xf numFmtId="42" fontId="0" fillId="0" borderId="0" xfId="1" applyFont="1" applyFill="1" applyBorder="1"/>
    <xf numFmtId="44" fontId="0" fillId="5" borderId="4" xfId="11" applyNumberFormat="1" applyFont="1"/>
    <xf numFmtId="9" fontId="0" fillId="0" borderId="0" xfId="2" applyFont="1" applyFill="1" applyBorder="1" applyAlignment="1">
      <alignment horizontal="right"/>
    </xf>
    <xf numFmtId="9" fontId="0" fillId="5" borderId="4" xfId="11" applyNumberFormat="1" applyFont="1" applyAlignment="1">
      <alignment horizontal="right"/>
    </xf>
    <xf numFmtId="0" fontId="0" fillId="0" borderId="0" xfId="9" applyFont="1" applyFill="1">
      <alignment horizontal="right" wrapText="1" indent="1"/>
    </xf>
    <xf numFmtId="0" fontId="0" fillId="0" borderId="0" xfId="0" applyFont="1" applyFill="1" applyBorder="1" applyAlignment="1"/>
    <xf numFmtId="42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>
      <alignment horizontal="right"/>
    </xf>
    <xf numFmtId="0" fontId="13" fillId="6" borderId="0" xfId="12">
      <alignment horizontal="right" vertical="center" indent="1"/>
    </xf>
    <xf numFmtId="42" fontId="6" fillId="6" borderId="0" xfId="13" applyFill="1" applyAlignment="1">
      <alignment horizontal="right" vertical="center" indent="1"/>
    </xf>
    <xf numFmtId="9" fontId="6" fillId="6" borderId="0" xfId="14" applyFill="1" applyAlignment="1">
      <alignment horizontal="right" vertical="center" indent="1"/>
    </xf>
    <xf numFmtId="0" fontId="0" fillId="7" borderId="4" xfId="15" applyNumberFormat="1" applyFont="1" applyAlignment="1">
      <alignment horizontal="center"/>
    </xf>
    <xf numFmtId="9" fontId="1" fillId="7" borderId="4" xfId="2" applyFill="1" applyBorder="1" applyAlignment="1">
      <alignment horizontal="right"/>
    </xf>
    <xf numFmtId="0" fontId="0" fillId="7" borderId="4" xfId="15" applyNumberFormat="1" applyFont="1"/>
    <xf numFmtId="0" fontId="0" fillId="0" borderId="5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44" fontId="13" fillId="6" borderId="0" xfId="12" applyNumberFormat="1">
      <alignment horizontal="right" vertical="center" indent="1"/>
    </xf>
    <xf numFmtId="5" fontId="13" fillId="6" borderId="0" xfId="12" applyNumberFormat="1">
      <alignment horizontal="right" vertical="center" indent="1"/>
    </xf>
    <xf numFmtId="10" fontId="0" fillId="3" borderId="4" xfId="2" applyNumberFormat="1" applyFont="1" applyFill="1" applyBorder="1" applyAlignment="1">
      <alignment horizontal="right"/>
    </xf>
    <xf numFmtId="0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7" fontId="0" fillId="0" borderId="0" xfId="2" applyNumberFormat="1" applyFont="1"/>
    <xf numFmtId="167" fontId="0" fillId="4" borderId="0" xfId="0" applyNumberFormat="1" applyFont="1" applyFill="1" applyBorder="1" applyAlignment="1">
      <alignment horizontal="right"/>
    </xf>
    <xf numFmtId="0" fontId="0" fillId="3" borderId="4" xfId="10" applyNumberFormat="1" applyFont="1" applyAlignment="1"/>
    <xf numFmtId="9" fontId="1" fillId="3" borderId="0" xfId="2" applyFill="1" applyBorder="1" applyAlignment="1">
      <alignment horizontal="right"/>
    </xf>
    <xf numFmtId="166" fontId="0" fillId="8" borderId="0" xfId="2" applyNumberFormat="1" applyFont="1" applyFill="1"/>
    <xf numFmtId="167" fontId="0" fillId="8" borderId="0" xfId="2" applyNumberFormat="1" applyFont="1" applyFill="1"/>
    <xf numFmtId="0" fontId="0" fillId="9" borderId="0" xfId="0" applyFont="1" applyFill="1" applyBorder="1" applyAlignment="1">
      <alignment horizontal="right" indent="1"/>
    </xf>
    <xf numFmtId="0" fontId="0" fillId="9" borderId="4" xfId="10" applyNumberFormat="1" applyFont="1" applyFill="1" applyAlignment="1"/>
    <xf numFmtId="167" fontId="0" fillId="0" borderId="0" xfId="0" applyNumberFormat="1" applyAlignment="1">
      <alignment horizontal="center"/>
    </xf>
    <xf numFmtId="167" fontId="8" fillId="0" borderId="0" xfId="0" applyNumberFormat="1" applyFont="1" applyBorder="1" applyAlignment="1">
      <alignment vertical="center"/>
    </xf>
    <xf numFmtId="167" fontId="5" fillId="2" borderId="0" xfId="7" applyNumberFormat="1" applyFill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/>
    </xf>
    <xf numFmtId="167" fontId="1" fillId="0" borderId="0" xfId="1" applyNumberFormat="1" applyFill="1" applyBorder="1"/>
    <xf numFmtId="167" fontId="1" fillId="3" borderId="4" xfId="1" applyNumberFormat="1" applyFill="1" applyBorder="1" applyAlignment="1">
      <alignment horizontal="right"/>
    </xf>
    <xf numFmtId="167" fontId="0" fillId="9" borderId="0" xfId="0" applyNumberFormat="1" applyFont="1" applyFill="1" applyBorder="1"/>
    <xf numFmtId="167" fontId="0" fillId="4" borderId="0" xfId="0" applyNumberFormat="1" applyFont="1" applyFill="1" applyBorder="1"/>
    <xf numFmtId="167" fontId="0" fillId="0" borderId="0" xfId="1" applyNumberFormat="1" applyFont="1" applyFill="1" applyBorder="1"/>
    <xf numFmtId="167" fontId="0" fillId="5" borderId="4" xfId="11" applyNumberFormat="1" applyFont="1"/>
    <xf numFmtId="167" fontId="0" fillId="0" borderId="0" xfId="0" applyNumberFormat="1" applyFont="1" applyFill="1" applyBorder="1"/>
    <xf numFmtId="167" fontId="6" fillId="6" borderId="0" xfId="13" applyNumberFormat="1" applyFill="1" applyAlignment="1">
      <alignment horizontal="right" vertical="center" indent="1"/>
    </xf>
    <xf numFmtId="167" fontId="1" fillId="7" borderId="4" xfId="1" applyNumberFormat="1" applyFill="1" applyBorder="1"/>
    <xf numFmtId="167" fontId="13" fillId="6" borderId="0" xfId="12" applyNumberFormat="1">
      <alignment horizontal="right" vertical="center" indent="1"/>
    </xf>
    <xf numFmtId="1" fontId="0" fillId="0" borderId="0" xfId="0" applyNumberFormat="1"/>
    <xf numFmtId="1" fontId="5" fillId="2" borderId="0" xfId="7" applyNumberFormat="1" applyFill="1" applyAlignment="1">
      <alignment horizontal="center" vertical="center"/>
    </xf>
    <xf numFmtId="1" fontId="5" fillId="0" borderId="0" xfId="7" applyNumberFormat="1" applyAlignment="1">
      <alignment horizontal="center" vertical="center"/>
    </xf>
    <xf numFmtId="0" fontId="10" fillId="0" borderId="0" xfId="8" applyAlignment="1">
      <alignment horizontal="center"/>
    </xf>
    <xf numFmtId="0" fontId="11" fillId="0" borderId="0" xfId="0" applyFont="1" applyFill="1" applyBorder="1" applyAlignment="1">
      <alignment horizontal="right"/>
    </xf>
    <xf numFmtId="0" fontId="10" fillId="0" borderId="0" xfId="8" applyAlignment="1">
      <alignment horizontal="right"/>
    </xf>
    <xf numFmtId="0" fontId="0" fillId="0" borderId="0" xfId="9" applyFont="1" applyAlignment="1">
      <alignment horizontal="center" wrapText="1"/>
    </xf>
    <xf numFmtId="42" fontId="12" fillId="10" borderId="6" xfId="13" applyFont="1" applyFill="1" applyBorder="1" applyAlignment="1">
      <alignment horizontal="right" vertical="center" indent="1"/>
    </xf>
    <xf numFmtId="44" fontId="6" fillId="8" borderId="7" xfId="11" applyNumberFormat="1" applyFont="1" applyFill="1" applyBorder="1" applyAlignment="1">
      <alignment horizontal="right" vertical="center"/>
    </xf>
    <xf numFmtId="44" fontId="1" fillId="0" borderId="0" xfId="1" applyNumberFormat="1" applyFill="1" applyBorder="1"/>
    <xf numFmtId="167" fontId="0" fillId="8" borderId="8" xfId="2" applyNumberFormat="1" applyFont="1" applyFill="1" applyBorder="1"/>
    <xf numFmtId="0" fontId="0" fillId="0" borderId="8" xfId="0" applyFont="1" applyFill="1" applyBorder="1" applyAlignment="1">
      <alignment horizontal="right" indent="1"/>
    </xf>
    <xf numFmtId="0" fontId="0" fillId="0" borderId="8" xfId="0" applyFont="1" applyFill="1" applyBorder="1"/>
    <xf numFmtId="167" fontId="1" fillId="3" borderId="8" xfId="1" applyNumberFormat="1" applyFill="1" applyBorder="1" applyAlignment="1">
      <alignment horizontal="right"/>
    </xf>
    <xf numFmtId="10" fontId="1" fillId="0" borderId="8" xfId="2" applyNumberFormat="1" applyFill="1" applyBorder="1" applyAlignment="1">
      <alignment horizontal="right"/>
    </xf>
    <xf numFmtId="10" fontId="1" fillId="3" borderId="8" xfId="2" applyNumberFormat="1" applyFill="1" applyBorder="1" applyAlignment="1">
      <alignment horizontal="right"/>
    </xf>
    <xf numFmtId="0" fontId="10" fillId="7" borderId="4" xfId="15" applyNumberFormat="1" applyFont="1" applyAlignment="1">
      <alignment horizontal="right" indent="1"/>
    </xf>
    <xf numFmtId="9" fontId="0" fillId="0" borderId="0" xfId="2" applyFont="1" applyFill="1" applyBorder="1" applyAlignment="1">
      <alignment horizontal="center"/>
    </xf>
    <xf numFmtId="167" fontId="1" fillId="11" borderId="0" xfId="1" applyNumberFormat="1" applyFill="1" applyBorder="1"/>
    <xf numFmtId="0" fontId="10" fillId="0" borderId="0" xfId="8" applyAlignment="1">
      <alignment horizontal="left"/>
    </xf>
    <xf numFmtId="0" fontId="10" fillId="0" borderId="0" xfId="8" applyAlignment="1">
      <alignment horizontal="left" indent="1"/>
    </xf>
    <xf numFmtId="44" fontId="0" fillId="12" borderId="8" xfId="2" applyNumberFormat="1" applyFont="1" applyFill="1" applyBorder="1"/>
    <xf numFmtId="167" fontId="0" fillId="12" borderId="8" xfId="2" applyNumberFormat="1" applyFont="1" applyFill="1" applyBorder="1"/>
    <xf numFmtId="44" fontId="0" fillId="12" borderId="0" xfId="2" applyNumberFormat="1" applyFont="1" applyFill="1"/>
    <xf numFmtId="167" fontId="0" fillId="12" borderId="0" xfId="2" applyNumberFormat="1" applyFont="1" applyFill="1"/>
    <xf numFmtId="167" fontId="1" fillId="12" borderId="8" xfId="1" applyNumberFormat="1" applyFill="1" applyBorder="1"/>
    <xf numFmtId="167" fontId="1" fillId="12" borderId="0" xfId="1" applyNumberFormat="1" applyFill="1" applyBorder="1"/>
    <xf numFmtId="166" fontId="0" fillId="13" borderId="0" xfId="2" applyNumberFormat="1" applyFont="1" applyFill="1"/>
    <xf numFmtId="167" fontId="0" fillId="13" borderId="0" xfId="2" applyNumberFormat="1" applyFont="1" applyFill="1"/>
    <xf numFmtId="167" fontId="0" fillId="2" borderId="0" xfId="0" applyNumberFormat="1" applyFont="1" applyFill="1" applyBorder="1" applyAlignment="1">
      <alignment horizontal="center"/>
    </xf>
    <xf numFmtId="10" fontId="0" fillId="2" borderId="0" xfId="0" applyNumberFormat="1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center"/>
    </xf>
    <xf numFmtId="167" fontId="0" fillId="2" borderId="0" xfId="0" applyNumberFormat="1" applyFill="1"/>
    <xf numFmtId="167" fontId="5" fillId="2" borderId="0" xfId="0" applyNumberFormat="1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9" xfId="0" applyBorder="1"/>
    <xf numFmtId="0" fontId="2" fillId="0" borderId="10" xfId="3" applyBorder="1" applyAlignment="1">
      <alignment vertical="center"/>
    </xf>
    <xf numFmtId="0" fontId="0" fillId="0" borderId="10" xfId="0" applyBorder="1"/>
    <xf numFmtId="167" fontId="0" fillId="0" borderId="10" xfId="0" applyNumberFormat="1" applyBorder="1"/>
    <xf numFmtId="167" fontId="8" fillId="0" borderId="10" xfId="0" applyNumberFormat="1" applyFont="1" applyBorder="1" applyAlignment="1">
      <alignment vertical="center"/>
    </xf>
    <xf numFmtId="42" fontId="12" fillId="10" borderId="0" xfId="13" applyFont="1" applyFill="1" applyBorder="1" applyAlignment="1">
      <alignment horizontal="right" vertical="center" indent="1"/>
    </xf>
  </cellXfs>
  <cellStyles count="16">
    <cellStyle name="Cost of Sales fill" xfId="11"/>
    <cellStyle name="Currency [0]" xfId="1" builtinId="7"/>
    <cellStyle name="Expenses fill" xfId="15"/>
    <cellStyle name="Heading 1" xfId="4" builtinId="16"/>
    <cellStyle name="Heading 2" xfId="5" builtinId="17"/>
    <cellStyle name="Heading 3" xfId="6" builtinId="18"/>
    <cellStyle name="Heading 4" xfId="7" builtinId="19"/>
    <cellStyle name="Normal" xfId="0" builtinId="0"/>
    <cellStyle name="Percent" xfId="2" builtinId="5"/>
    <cellStyle name="Profit" xfId="12"/>
    <cellStyle name="Profit Amount" xfId="13"/>
    <cellStyle name="Profit Percent" xfId="14"/>
    <cellStyle name="Revenue fill" xfId="10"/>
    <cellStyle name="Table Details" xfId="9"/>
    <cellStyle name="Table Heading 1" xfId="8"/>
    <cellStyle name="Title" xfId="3" builtinId="15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  <fill>
        <patternFill patternType="none">
          <fgColor indexed="64"/>
          <bgColor indexed="65"/>
        </patternFill>
      </fill>
    </dxf>
    <dxf>
      <numFmt numFmtId="167" formatCode="&quot;$&quot;#,##0.00"/>
    </dxf>
    <dxf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</dxf>
    <dxf>
      <numFmt numFmtId="167" formatCode="&quot;$&quot;#,##0.00"/>
    </dxf>
    <dxf>
      <numFmt numFmtId="0" formatCode="General"/>
    </dxf>
    <dxf>
      <numFmt numFmtId="14" formatCode="0.00%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fill>
        <patternFill>
          <fgColor indexed="64"/>
          <bgColor rgb="FFFFFF00"/>
        </patternFill>
      </fill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TableStyleMedium2" defaultPivotStyle="PivotStyleLight16">
    <tableStyle name="Profit &amp; Loss Expenses" pivot="0" count="5">
      <tableStyleElement type="wholeTable" dxfId="153"/>
      <tableStyleElement type="headerRow" dxfId="152"/>
      <tableStyleElement type="totalRow" dxfId="151"/>
      <tableStyleElement type="firstRowStripe" dxfId="150"/>
      <tableStyleElement type="secondRowStripe" dxfId="149"/>
    </tableStyle>
    <tableStyle name="Profit &amp; Loss Revenue" pivot="0" count="5">
      <tableStyleElement type="wholeTable" dxfId="148"/>
      <tableStyleElement type="headerRow" dxfId="147"/>
      <tableStyleElement type="totalRow" dxfId="146"/>
      <tableStyleElement type="firstRowStripe" dxfId="145"/>
      <tableStyleElement type="secondRowStripe" dxfId="144"/>
    </tableStyle>
    <tableStyle name="Profit &amp; Loss Sales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evenue9" displayName="Revenue9" ref="A4:AG16" totalsRowCount="1" totalsRowDxfId="138">
  <autoFilter ref="A4:AG15"/>
  <tableColumns count="33">
    <tableColumn id="1" name="Income" totalsRowLabel="Monthly (Net)" totalsRowDxfId="32" dataCellStyle="Table Details"/>
    <tableColumn id="29" name="TREND" totalsRowDxfId="31" dataCellStyle="Revenue fill"/>
    <tableColumn id="2" name="Jan" totalsRowFunction="custom" dataDxfId="137" totalsRowDxfId="30" dataCellStyle="Currency [0]">
      <totalsRowFormula>C15-C14</totalsRowFormula>
    </tableColumn>
    <tableColumn id="3" name="Feb" totalsRowFunction="custom" dataDxfId="136" totalsRowDxfId="29" dataCellStyle="Currency [0]">
      <totalsRowFormula>D15-D14</totalsRowFormula>
    </tableColumn>
    <tableColumn id="4" name="Mar" totalsRowFunction="custom" dataDxfId="135" totalsRowDxfId="28" dataCellStyle="Currency [0]">
      <totalsRowFormula>E15-E14</totalsRowFormula>
    </tableColumn>
    <tableColumn id="5" name="Apr" totalsRowFunction="custom" dataDxfId="134" totalsRowDxfId="27" dataCellStyle="Currency [0]">
      <totalsRowFormula>F15-F14</totalsRowFormula>
    </tableColumn>
    <tableColumn id="6" name="May" totalsRowFunction="custom" dataDxfId="133" totalsRowDxfId="26" dataCellStyle="Currency [0]">
      <totalsRowFormula>G15-G14</totalsRowFormula>
    </tableColumn>
    <tableColumn id="7" name="Jun" totalsRowFunction="custom" dataDxfId="132" totalsRowDxfId="25" dataCellStyle="Currency [0]">
      <totalsRowFormula>H15-H14</totalsRowFormula>
    </tableColumn>
    <tableColumn id="8" name="Jul" totalsRowFunction="custom" dataDxfId="131" totalsRowDxfId="24" dataCellStyle="Currency [0]">
      <totalsRowFormula>I15-I14</totalsRowFormula>
    </tableColumn>
    <tableColumn id="9" name="Aug" totalsRowFunction="custom" dataDxfId="130" totalsRowDxfId="23" dataCellStyle="Currency [0]">
      <totalsRowFormula>J15-J14</totalsRowFormula>
    </tableColumn>
    <tableColumn id="10" name="Sep" totalsRowFunction="custom" dataDxfId="129" totalsRowDxfId="22" dataCellStyle="Currency [0]">
      <totalsRowFormula>K15-K14</totalsRowFormula>
    </tableColumn>
    <tableColumn id="11" name="Oct" totalsRowFunction="custom" dataDxfId="128" totalsRowDxfId="21" dataCellStyle="Currency [0]">
      <totalsRowFormula>L15-L14</totalsRowFormula>
    </tableColumn>
    <tableColumn id="12" name="Nov" totalsRowFunction="custom" dataDxfId="127" totalsRowDxfId="20" dataCellStyle="Currency [0]">
      <totalsRowFormula>M15-M14</totalsRowFormula>
    </tableColumn>
    <tableColumn id="13" name="Dec" totalsRowFunction="custom" dataDxfId="126" totalsRowDxfId="19" dataCellStyle="Currency [0]">
      <totalsRowFormula>N15-N14</totalsRowFormula>
    </tableColumn>
    <tableColumn id="14" name="Yearly Gross" totalsRowFunction="custom" dataDxfId="125" totalsRowDxfId="18" dataCellStyle="Currency [0]">
      <calculatedColumnFormula>SUM(Revenue9[[#This Row],[Jan]:[Dec]])</calculatedColumnFormula>
      <totalsRowFormula>(O12+O13)-O14</totalsRowFormula>
    </tableColumn>
    <tableColumn id="15" name="Index %" totalsRowFunction="custom" totalsRowDxfId="17" dataCellStyle="Percent">
      <totalsRowFormula>P11+P10+P9+P8+P7+P6+P5</totalsRowFormula>
    </tableColumn>
    <tableColumn id="16" name="Jan %" totalsRowFunction="custom" totalsRowDxfId="16" dataCellStyle="Percent">
      <calculatedColumnFormula>IFERROR(Revenue9[[#This Row],[Jan]]/Revenue9[[#Totals],[Jan]],"-")</calculatedColumnFormula>
      <totalsRowFormula>Q11+Q10+Q9+Q8+Q7+Q6+Q5</totalsRowFormula>
    </tableColumn>
    <tableColumn id="17" name="Feb %" totalsRowFunction="custom" totalsRowDxfId="15" dataCellStyle="Percent">
      <calculatedColumnFormula>IFERROR(Revenue9[[#This Row],[Feb]]/Revenue9[[#Totals],[Feb]],"-")</calculatedColumnFormula>
      <totalsRowFormula>R11+R10+R9+R8+R7+R6+R5</totalsRowFormula>
    </tableColumn>
    <tableColumn id="18" name="Mar %" totalsRowFunction="custom" totalsRowDxfId="14" dataCellStyle="Percent">
      <calculatedColumnFormula>IFERROR(Revenue9[[#This Row],[Mar]]/Revenue9[[#Totals],[Mar]],"-")</calculatedColumnFormula>
      <totalsRowFormula>S11+S10+S9+S8+S7+S6+S5</totalsRowFormula>
    </tableColumn>
    <tableColumn id="19" name="Apr %" totalsRowFunction="custom" totalsRowDxfId="13" dataCellStyle="Percent">
      <calculatedColumnFormula>IFERROR(Revenue9[[#This Row],[Apr]]/Revenue9[[#Totals],[Apr]],"-")</calculatedColumnFormula>
      <totalsRowFormula>T11+T10+T9+T8+T7+T6+T5</totalsRowFormula>
    </tableColumn>
    <tableColumn id="20" name="May %" totalsRowFunction="custom" totalsRowDxfId="12" dataCellStyle="Percent">
      <calculatedColumnFormula>IFERROR(Revenue9[[#This Row],[May]]/Revenue9[[#Totals],[May]],"-")</calculatedColumnFormula>
      <totalsRowFormula>U11+U10+U9+U8+U7+U6+U5</totalsRowFormula>
    </tableColumn>
    <tableColumn id="21" name="Jun %" totalsRowFunction="custom" totalsRowDxfId="11" dataCellStyle="Percent">
      <calculatedColumnFormula>IFERROR(Revenue9[[#This Row],[Jun]]/Revenue9[[#Totals],[Jun]],"-")</calculatedColumnFormula>
      <totalsRowFormula>V11+V10+V9+V8+V7+V6+V5</totalsRowFormula>
    </tableColumn>
    <tableColumn id="22" name="Jul %" totalsRowFunction="custom" totalsRowDxfId="10" dataCellStyle="Percent">
      <calculatedColumnFormula>IFERROR(Revenue9[[#This Row],[Jul]]/Revenue9[[#Totals],[Jul]],"-")</calculatedColumnFormula>
      <totalsRowFormula>W11+W10+W9+W8+W7+W6+W5</totalsRowFormula>
    </tableColumn>
    <tableColumn id="23" name="Aug %" totalsRowFunction="custom" totalsRowDxfId="9" dataCellStyle="Percent">
      <calculatedColumnFormula>IFERROR(Revenue9[[#This Row],[Aug]]/Revenue9[[#Totals],[Aug]],"-")</calculatedColumnFormula>
      <totalsRowFormula>X11+X10+X9+X8+X7+X6+X5</totalsRowFormula>
    </tableColumn>
    <tableColumn id="24" name="Sep %" totalsRowFunction="custom" totalsRowDxfId="8" dataCellStyle="Percent">
      <calculatedColumnFormula>IFERROR(Revenue9[[#This Row],[Sep]]/Revenue9[[#Totals],[Sep]],"-")</calculatedColumnFormula>
      <totalsRowFormula>Y11+Y10+Y9+Y8+Y7+Y6+Y5</totalsRowFormula>
    </tableColumn>
    <tableColumn id="25" name="Oct %" totalsRowFunction="custom" totalsRowDxfId="7" dataCellStyle="Percent">
      <calculatedColumnFormula>IFERROR(Revenue9[[#This Row],[Oct]]/Revenue9[[#Totals],[Oct]],"-")</calculatedColumnFormula>
      <totalsRowFormula>Z11+Z10+Z9+Z8+Z7+Z6+Z5</totalsRowFormula>
    </tableColumn>
    <tableColumn id="26" name="Nov %" totalsRowFunction="custom" totalsRowDxfId="6" dataCellStyle="Percent">
      <calculatedColumnFormula>IFERROR(Revenue9[[#This Row],[Nov]]/Revenue9[[#Totals],[Nov]],"-")</calculatedColumnFormula>
      <totalsRowFormula>AA11+AA10+AA9+AA8+AA7+AA6+AA5</totalsRowFormula>
    </tableColumn>
    <tableColumn id="27" name="Dec %" totalsRowFunction="custom" totalsRowDxfId="5" dataCellStyle="Percent">
      <calculatedColumnFormula>IFERROR(Revenue9[[#This Row],[Dec]]/Revenue9[[#Totals],[Dec]],"-")</calculatedColumnFormula>
      <totalsRowFormula>AB11+AB10+AB9+AB8+AB7+AB6+AB5</totalsRowFormula>
    </tableColumn>
    <tableColumn id="28" name="Year %" totalsRowFunction="custom" dataDxfId="124" totalsRowDxfId="4" dataCellStyle="Percent">
      <calculatedColumnFormula>Revenue9[[#This Row],[Yearly Gross]]</calculatedColumnFormula>
      <totalsRowFormula>AC11+AC10+AC9+AC8+AC7+AC6+AC5</totalsRowFormula>
    </tableColumn>
    <tableColumn id="30" name="FICA Tax" totalsRowFunction="custom" dataDxfId="123" totalsRowDxfId="3" dataCellStyle="Percent">
      <calculatedColumnFormula>O5*0.124</calculatedColumnFormula>
      <totalsRowFormula>AD13+AD12</totalsRowFormula>
    </tableColumn>
    <tableColumn id="31" name="Medicare" totalsRowFunction="custom" dataDxfId="122" totalsRowDxfId="2" dataCellStyle="Percent">
      <calculatedColumnFormula>O5*0.029</calculatedColumnFormula>
      <totalsRowFormula>AE13+AE12</totalsRowFormula>
    </tableColumn>
    <tableColumn id="32" name="Total Taxes" totalsRowFunction="custom" dataDxfId="121" totalsRowDxfId="1" dataCellStyle="Percent">
      <calculatedColumnFormula>Revenue9[[#This Row],[Medicare]]+Revenue9[[#This Row],[FICA Tax]]</calculatedColumnFormula>
      <totalsRowFormula>AD16+AE16</totalsRowFormula>
    </tableColumn>
    <tableColumn id="33" name="Yearly Net" totalsRowFunction="custom" dataDxfId="120" totalsRowDxfId="0" dataCellStyle="Percent">
      <calculatedColumnFormula>Revenue9[[#This Row],[Yearly Gross]]-Revenue9[[#This Row],[Total Taxes]]</calculatedColumnFormula>
      <totalsRowFormula>O15-Revenue9[[#Totals],[Total Taxes]]</totalsRow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2" name="CostofSales5710" displayName="CostofSales5710" ref="A19:AC27" totalsRowCount="1">
  <tableColumns count="29">
    <tableColumn id="1" name="Expenses" totalsRowLabel="TOTAL COST OF RENT" dataDxfId="119" totalsRowDxfId="104" dataCellStyle="Table Details"/>
    <tableColumn id="2" name="TREND" dataDxfId="118" totalsRowDxfId="103" dataCellStyle="Cost of Sales fill"/>
    <tableColumn id="3" name="Jan" totalsRowFunction="custom" dataDxfId="117" totalsRowDxfId="102">
      <totalsRowFormula>C26+C25+C24+C23+C22+C21+C20</totalsRowFormula>
    </tableColumn>
    <tableColumn id="4" name="Feb" totalsRowFunction="custom" dataDxfId="116" totalsRowDxfId="101">
      <totalsRowFormula>D26+D25+D24+D23+D22+D21+D20</totalsRowFormula>
    </tableColumn>
    <tableColumn id="5" name="Mar" totalsRowFunction="custom" dataDxfId="115" totalsRowDxfId="100">
      <totalsRowFormula>E26+E25+E24+E23+E22+E21+E20</totalsRowFormula>
    </tableColumn>
    <tableColumn id="6" name="Apr" totalsRowFunction="custom" dataDxfId="114" totalsRowDxfId="99">
      <totalsRowFormula>F26+F25+F24+F23+F22+F21+F20</totalsRowFormula>
    </tableColumn>
    <tableColumn id="7" name="May" totalsRowFunction="custom" dataDxfId="113" totalsRowDxfId="98">
      <totalsRowFormula>G26+G25+G24+G23+G22+G21+G20</totalsRowFormula>
    </tableColumn>
    <tableColumn id="8" name="Jun" totalsRowFunction="custom" dataDxfId="112" totalsRowDxfId="97">
      <totalsRowFormula>H26+H25+H24+H23+H22+H21+H20</totalsRowFormula>
    </tableColumn>
    <tableColumn id="9" name="Jul" totalsRowFunction="custom" dataDxfId="111" totalsRowDxfId="96">
      <totalsRowFormula>I26+I25+I24+I23+I22+I21+I20</totalsRowFormula>
    </tableColumn>
    <tableColumn id="10" name="Aug" totalsRowFunction="custom" dataDxfId="110" totalsRowDxfId="95">
      <totalsRowFormula>J26+J25+J24+J23+J22+J21+J20</totalsRowFormula>
    </tableColumn>
    <tableColumn id="11" name="Sep" totalsRowFunction="custom" dataDxfId="109" totalsRowDxfId="94">
      <totalsRowFormula>K26+K25+K24+K23+K22+K21+K20</totalsRowFormula>
    </tableColumn>
    <tableColumn id="12" name="Oct" totalsRowFunction="custom" dataDxfId="108" totalsRowDxfId="93">
      <totalsRowFormula>L26+L25+L24+L23+L22+L21+L20</totalsRowFormula>
    </tableColumn>
    <tableColumn id="13" name="Nov" totalsRowFunction="custom" dataDxfId="107" totalsRowDxfId="92">
      <totalsRowFormula>M26+M25+M24+M23+M22+M21+M20</totalsRowFormula>
    </tableColumn>
    <tableColumn id="14" name="Dec" totalsRowFunction="custom" dataDxfId="106" totalsRowDxfId="91">
      <totalsRowFormula>N26+N25+N24+N23+N22+N21+N20</totalsRowFormula>
    </tableColumn>
    <tableColumn id="15" name="Rent" totalsRowFunction="sum" dataDxfId="105" totalsRowDxfId="90" dataCellStyle="Cost of Sales fill">
      <calculatedColumnFormula>SUM(CostofSales5710[[#This Row],[Jan]:[Dec]])</calculatedColumnFormula>
    </tableColumn>
    <tableColumn id="16" name="Index %" totalsRowFunction="sum" totalsRowDxfId="89"/>
    <tableColumn id="17" name="Jan %" totalsRowFunction="sum" totalsRowDxfId="88" dataCellStyle="Cost of Sales fill">
      <calculatedColumnFormula>IFERROR(CostofSales5710[[#This Row],[Jan]]/CostofSales5710[[#Totals],[Jan]],"-")</calculatedColumnFormula>
    </tableColumn>
    <tableColumn id="18" name="Feb %" totalsRowFunction="sum" totalsRowDxfId="87" dataCellStyle="Cost of Sales fill">
      <calculatedColumnFormula>IFERROR(CostofSales5710[[#This Row],[Feb]]/CostofSales5710[[#Totals],[Feb]],"-")</calculatedColumnFormula>
    </tableColumn>
    <tableColumn id="19" name="Mar %" totalsRowFunction="sum" totalsRowDxfId="86" dataCellStyle="Cost of Sales fill">
      <calculatedColumnFormula>IFERROR(CostofSales5710[[#This Row],[Mar]]/CostofSales5710[[#Totals],[Mar]],"-")</calculatedColumnFormula>
    </tableColumn>
    <tableColumn id="20" name="Apr %" totalsRowFunction="sum" totalsRowDxfId="85" dataCellStyle="Cost of Sales fill">
      <calculatedColumnFormula>IFERROR(CostofSales5710[[#This Row],[Apr]]/CostofSales5710[[#Totals],[Apr]],"-")</calculatedColumnFormula>
    </tableColumn>
    <tableColumn id="21" name="May %" totalsRowFunction="sum" totalsRowDxfId="84" dataCellStyle="Cost of Sales fill">
      <calculatedColumnFormula>IFERROR(CostofSales5710[[#This Row],[May]]/CostofSales5710[[#Totals],[May]],"-")</calculatedColumnFormula>
    </tableColumn>
    <tableColumn id="22" name="Jun %" totalsRowFunction="sum" totalsRowDxfId="83" dataCellStyle="Cost of Sales fill">
      <calculatedColumnFormula>IFERROR(CostofSales5710[[#This Row],[Jun]]/CostofSales5710[[#Totals],[Jun]],"-")</calculatedColumnFormula>
    </tableColumn>
    <tableColumn id="23" name="Jul %" totalsRowFunction="sum" totalsRowDxfId="82" dataCellStyle="Cost of Sales fill">
      <calculatedColumnFormula>IFERROR(CostofSales5710[[#This Row],[Jul]]/CostofSales5710[[#Totals],[Jul]],"-")</calculatedColumnFormula>
    </tableColumn>
    <tableColumn id="24" name="Aug %" totalsRowFunction="sum" totalsRowDxfId="81" dataCellStyle="Cost of Sales fill">
      <calculatedColumnFormula>IFERROR(CostofSales5710[[#This Row],[Aug]]/CostofSales5710[[#Totals],[Aug]],"-")</calculatedColumnFormula>
    </tableColumn>
    <tableColumn id="25" name="Sep %" totalsRowFunction="sum" totalsRowDxfId="80" dataCellStyle="Cost of Sales fill">
      <calculatedColumnFormula>IFERROR(CostofSales5710[[#This Row],[Sep]]/CostofSales5710[[#Totals],[Sep]],"-")</calculatedColumnFormula>
    </tableColumn>
    <tableColumn id="26" name="Oct %" totalsRowFunction="sum" totalsRowDxfId="79" dataCellStyle="Cost of Sales fill">
      <calculatedColumnFormula>IFERROR(CostofSales5710[[#This Row],[Oct]]/CostofSales5710[[#Totals],[Oct]],"-")</calculatedColumnFormula>
    </tableColumn>
    <tableColumn id="27" name="Nov %" totalsRowFunction="sum" totalsRowDxfId="78" dataCellStyle="Cost of Sales fill">
      <calculatedColumnFormula>IFERROR(CostofSales5710[[#This Row],[Nov]]/CostofSales5710[[#Totals],[Nov]],"-")</calculatedColumnFormula>
    </tableColumn>
    <tableColumn id="28" name="Dec %" totalsRowFunction="sum" totalsRowDxfId="77" dataCellStyle="Cost of Sales fill">
      <calculatedColumnFormula>IFERROR(CostofSales5710[[#This Row],[Dec]]/CostofSales5710[[#Totals],[Dec]],"-")</calculatedColumnFormula>
    </tableColumn>
    <tableColumn id="29" name="Year %" totalsRowFunction="sum" totalsRowDxfId="76" dataCellStyle="Cost of Sales fill">
      <calculatedColumnFormula>IFERROR(CostofSales5710[[#This Row],[Rent]]/CostofSales5710[[#Totals],[Rent]],"-")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id="3" name="tblExpenses6811" displayName="tblExpenses6811" ref="A31:AC39" totalsRowCount="1">
  <tableColumns count="29">
    <tableColumn id="1" name="Savings" totalsRowLabel="TOTAL SAVINGS" dataDxfId="75" totalsRowDxfId="61" dataCellStyle="Table Details"/>
    <tableColumn id="2" name="TREND" totalsRowLabel=" " totalsRowDxfId="60" dataCellStyle="Expenses fill"/>
    <tableColumn id="3" name="Jan" totalsRowFunction="custom" dataDxfId="74" totalsRowDxfId="59">
      <totalsRowFormula>C38+C37+C36+C35+C34+C33+C32</totalsRowFormula>
    </tableColumn>
    <tableColumn id="4" name="Feb" totalsRowFunction="custom" dataDxfId="73" totalsRowDxfId="58">
      <totalsRowFormula>D38+D37+D36+D35+D34+D33+D32</totalsRowFormula>
    </tableColumn>
    <tableColumn id="5" name="Mar" totalsRowFunction="custom" dataDxfId="72" totalsRowDxfId="57" dataCellStyle="Currency [0]">
      <totalsRowFormula>E38+E37+E36+E35+E34+E33+E32</totalsRowFormula>
    </tableColumn>
    <tableColumn id="6" name="Apr" totalsRowFunction="custom" dataDxfId="71" totalsRowDxfId="56" dataCellStyle="Currency [0]">
      <totalsRowFormula>F38+F37+F36+F35+F34+F33+F32</totalsRowFormula>
    </tableColumn>
    <tableColumn id="7" name="May" totalsRowFunction="custom" dataDxfId="70" totalsRowDxfId="55" dataCellStyle="Currency [0]">
      <totalsRowFormula>G38+G37+G36+G35+G34+G33+G32</totalsRowFormula>
    </tableColumn>
    <tableColumn id="8" name="Jun" totalsRowFunction="custom" dataDxfId="69" totalsRowDxfId="54" dataCellStyle="Currency [0]">
      <totalsRowFormula>H38+H37+H36+H35+H34+H33+H32</totalsRowFormula>
    </tableColumn>
    <tableColumn id="9" name="Jul" totalsRowFunction="custom" dataDxfId="68" totalsRowDxfId="53" dataCellStyle="Currency [0]">
      <totalsRowFormula>I38+I37+I36+I35+I34+I33+I32</totalsRowFormula>
    </tableColumn>
    <tableColumn id="10" name="Aug" totalsRowFunction="custom" dataDxfId="67" totalsRowDxfId="52" dataCellStyle="Currency [0]">
      <totalsRowFormula>J38+J37+J36+J35+J34+J33+J32</totalsRowFormula>
    </tableColumn>
    <tableColumn id="11" name="Sep" totalsRowFunction="custom" dataDxfId="66" totalsRowDxfId="51" dataCellStyle="Currency [0]">
      <totalsRowFormula>K38+K37+K36+K35+K34+K33+K32</totalsRowFormula>
    </tableColumn>
    <tableColumn id="12" name="Oct" totalsRowFunction="custom" dataDxfId="65" totalsRowDxfId="50" dataCellStyle="Currency [0]">
      <totalsRowFormula>L38+L37+L36+L35+L34+L33+L32</totalsRowFormula>
    </tableColumn>
    <tableColumn id="13" name="Nov" totalsRowFunction="custom" dataDxfId="62" totalsRowDxfId="49" dataCellStyle="Currency [0]">
      <totalsRowFormula>M38+M37+M36+M35+M34+M33+M32</totalsRowFormula>
    </tableColumn>
    <tableColumn id="14" name="Dec" totalsRowFunction="custom" dataDxfId="64" totalsRowDxfId="48" dataCellStyle="Currency [0]">
      <totalsRowFormula>N38+N37+N36+N35+N34+N33+N32</totalsRowFormula>
    </tableColumn>
    <tableColumn id="15" name="Yearly" totalsRowFunction="sum" dataDxfId="63" totalsRowDxfId="47" dataCellStyle="Currency [0]">
      <calculatedColumnFormula>SUM(tblExpenses6811[[#This Row],[Jan]:[Dec]])</calculatedColumnFormula>
    </tableColumn>
    <tableColumn id="16" name="Index %" totalsRowFunction="sum" totalsRowDxfId="46"/>
    <tableColumn id="17" name="Jan %" totalsRowFunction="sum" totalsRowDxfId="45" dataCellStyle="Percent">
      <calculatedColumnFormula>tblExpenses6811[[#This Row],[Jan]]/tblExpenses6811[[#Totals],[Jan]]</calculatedColumnFormula>
    </tableColumn>
    <tableColumn id="18" name="Feb %" totalsRowFunction="sum" totalsRowDxfId="44" dataCellStyle="Percent">
      <calculatedColumnFormula>tblExpenses6811[[#This Row],[Feb]]/tblExpenses6811[[#Totals],[Feb]]</calculatedColumnFormula>
    </tableColumn>
    <tableColumn id="19" name="Mar %" totalsRowFunction="sum" totalsRowDxfId="43" dataCellStyle="Percent">
      <calculatedColumnFormula>tblExpenses6811[[#This Row],[Mar]]/tblExpenses6811[[#Totals],[Mar]]</calculatedColumnFormula>
    </tableColumn>
    <tableColumn id="20" name="Apr %" totalsRowFunction="sum" totalsRowDxfId="42" dataCellStyle="Percent">
      <calculatedColumnFormula>tblExpenses6811[[#This Row],[Apr]]/tblExpenses6811[[#Totals],[Apr]]</calculatedColumnFormula>
    </tableColumn>
    <tableColumn id="21" name="May %" totalsRowFunction="sum" totalsRowDxfId="41" dataCellStyle="Percent">
      <calculatedColumnFormula>tblExpenses6811[[#This Row],[May]]/tblExpenses6811[[#Totals],[May]]</calculatedColumnFormula>
    </tableColumn>
    <tableColumn id="22" name="Jun %" totalsRowFunction="sum" totalsRowDxfId="40" dataCellStyle="Percent">
      <calculatedColumnFormula>tblExpenses6811[[#This Row],[Jun]]/tblExpenses6811[[#Totals],[Jun]]</calculatedColumnFormula>
    </tableColumn>
    <tableColumn id="23" name="Jul %" totalsRowFunction="sum" totalsRowDxfId="39" dataCellStyle="Percent">
      <calculatedColumnFormula>tblExpenses6811[[#This Row],[Jul]]/tblExpenses6811[[#Totals],[Jul]]</calculatedColumnFormula>
    </tableColumn>
    <tableColumn id="24" name="Aug %" totalsRowFunction="sum" totalsRowDxfId="38" dataCellStyle="Percent">
      <calculatedColumnFormula>tblExpenses6811[[#This Row],[Aug]]/tblExpenses6811[[#Totals],[Aug]]</calculatedColumnFormula>
    </tableColumn>
    <tableColumn id="25" name="Sep %" totalsRowFunction="sum" totalsRowDxfId="37" dataCellStyle="Percent">
      <calculatedColumnFormula>tblExpenses6811[[#This Row],[Sep]]/tblExpenses6811[[#Totals],[Sep]]</calculatedColumnFormula>
    </tableColumn>
    <tableColumn id="26" name="Oct %" totalsRowFunction="sum" totalsRowDxfId="36" dataCellStyle="Percent">
      <calculatedColumnFormula>tblExpenses6811[[#This Row],[Oct]]/tblExpenses6811[[#Totals],[Oct]]</calculatedColumnFormula>
    </tableColumn>
    <tableColumn id="27" name="Nov %" totalsRowFunction="sum" totalsRowDxfId="35" dataCellStyle="Percent">
      <calculatedColumnFormula>tblExpenses6811[[#This Row],[Nov]]/tblExpenses6811[[#Totals],[Nov]]</calculatedColumnFormula>
    </tableColumn>
    <tableColumn id="28" name="Dec %" totalsRowFunction="sum" totalsRowDxfId="34" dataCellStyle="Percent">
      <calculatedColumnFormula>tblExpenses6811[[#This Row],[Dec]]/tblExpenses6811[[#Totals],[Dec]]</calculatedColumnFormula>
    </tableColumn>
    <tableColumn id="29" name="Year %" totalsRowFunction="sum" totalsRowDxfId="33" dataCellStyle="Percent">
      <calculatedColumnFormula>tblExpenses6811[[#This Row],[Yearly]]/tblExpenses6811[[#Totals],[Yearly]]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0"/>
  <sheetViews>
    <sheetView tabSelected="1" topLeftCell="B16" zoomScale="70" zoomScaleNormal="70" workbookViewId="0">
      <selection activeCell="AD29" sqref="AD29"/>
    </sheetView>
  </sheetViews>
  <sheetFormatPr defaultRowHeight="14.4" x14ac:dyDescent="0.3"/>
  <cols>
    <col min="1" max="1" width="25.5546875" bestFit="1" customWidth="1"/>
    <col min="2" max="2" width="12.44140625" customWidth="1"/>
    <col min="3" max="3" width="12.77734375" style="54" bestFit="1" customWidth="1"/>
    <col min="4" max="4" width="13.44140625" style="54" bestFit="1" customWidth="1"/>
    <col min="5" max="5" width="14.6640625" style="54" bestFit="1" customWidth="1"/>
    <col min="6" max="6" width="12.6640625" style="54" bestFit="1" customWidth="1"/>
    <col min="7" max="7" width="13.44140625" style="54" bestFit="1" customWidth="1"/>
    <col min="8" max="8" width="14.6640625" style="54" bestFit="1" customWidth="1"/>
    <col min="9" max="9" width="12.21875" style="54" bestFit="1" customWidth="1"/>
    <col min="10" max="10" width="14.6640625" style="54" bestFit="1" customWidth="1"/>
    <col min="11" max="11" width="13.44140625" style="54" bestFit="1" customWidth="1"/>
    <col min="12" max="12" width="12.6640625" style="54" bestFit="1" customWidth="1"/>
    <col min="13" max="13" width="14.6640625" style="54" bestFit="1" customWidth="1"/>
    <col min="14" max="14" width="13.44140625" style="54" bestFit="1" customWidth="1"/>
    <col min="15" max="15" width="15.33203125" style="54" bestFit="1" customWidth="1"/>
    <col min="16" max="28" width="0" hidden="1" customWidth="1"/>
    <col min="29" max="29" width="14.44140625" hidden="1" customWidth="1"/>
    <col min="30" max="30" width="14.6640625" style="52" customWidth="1"/>
    <col min="31" max="34" width="14.6640625" style="54" customWidth="1"/>
    <col min="46" max="46" width="13.109375" bestFit="1" customWidth="1"/>
  </cols>
  <sheetData>
    <row r="1" spans="1:49" ht="29.4" thickBot="1" x14ac:dyDescent="0.35">
      <c r="A1" s="1" t="s">
        <v>50</v>
      </c>
      <c r="I1" s="6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</row>
    <row r="2" spans="1:49" ht="34.799999999999997" thickTop="1" thickBot="1" x14ac:dyDescent="0.35">
      <c r="A2" s="5" t="s">
        <v>0</v>
      </c>
      <c r="D2" s="64"/>
      <c r="F2" s="64"/>
      <c r="J2" s="64"/>
      <c r="K2" s="64"/>
      <c r="L2" s="64"/>
      <c r="M2" s="64"/>
      <c r="N2" s="64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9" t="s">
        <v>1</v>
      </c>
      <c r="AB2" s="9" t="s">
        <v>2</v>
      </c>
      <c r="AC2" s="10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9" ht="18" customHeight="1" x14ac:dyDescent="0.3">
      <c r="D3" s="64"/>
      <c r="F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54"/>
      <c r="AO3" s="54"/>
      <c r="AP3" s="54"/>
      <c r="AQ3" s="54"/>
      <c r="AR3" s="54"/>
      <c r="AS3" s="54"/>
      <c r="AT3" s="54"/>
      <c r="AU3" s="54"/>
    </row>
    <row r="4" spans="1:49" ht="15.6" x14ac:dyDescent="0.3">
      <c r="A4" s="96" t="s">
        <v>18</v>
      </c>
      <c r="B4" s="96" t="s">
        <v>19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  <c r="J4" s="106" t="s">
        <v>10</v>
      </c>
      <c r="K4" s="106" t="s">
        <v>11</v>
      </c>
      <c r="L4" s="106" t="s">
        <v>12</v>
      </c>
      <c r="M4" s="106" t="s">
        <v>13</v>
      </c>
      <c r="N4" s="106" t="s">
        <v>14</v>
      </c>
      <c r="O4" s="111" t="s">
        <v>76</v>
      </c>
      <c r="P4" s="107" t="s">
        <v>21</v>
      </c>
      <c r="Q4" s="107" t="s">
        <v>22</v>
      </c>
      <c r="R4" s="107" t="s">
        <v>23</v>
      </c>
      <c r="S4" s="107" t="s">
        <v>24</v>
      </c>
      <c r="T4" s="107" t="s">
        <v>25</v>
      </c>
      <c r="U4" s="107" t="s">
        <v>26</v>
      </c>
      <c r="V4" s="107" t="s">
        <v>27</v>
      </c>
      <c r="W4" s="107" t="s">
        <v>28</v>
      </c>
      <c r="X4" s="107" t="s">
        <v>29</v>
      </c>
      <c r="Y4" s="107" t="s">
        <v>30</v>
      </c>
      <c r="Z4" s="107" t="s">
        <v>31</v>
      </c>
      <c r="AA4" s="107" t="s">
        <v>32</v>
      </c>
      <c r="AB4" s="107" t="s">
        <v>33</v>
      </c>
      <c r="AC4" s="108" t="s">
        <v>34</v>
      </c>
      <c r="AD4" s="112" t="s">
        <v>51</v>
      </c>
      <c r="AE4" s="109" t="s">
        <v>77</v>
      </c>
      <c r="AF4" s="109" t="s">
        <v>52</v>
      </c>
      <c r="AG4" s="109" t="s">
        <v>78</v>
      </c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9" ht="16.2" customHeight="1" x14ac:dyDescent="0.3">
      <c r="A5" s="14" t="s">
        <v>35</v>
      </c>
      <c r="B5" s="21"/>
      <c r="C5" s="67">
        <v>12500</v>
      </c>
      <c r="D5" s="67">
        <v>12500</v>
      </c>
      <c r="E5" s="67">
        <v>12500</v>
      </c>
      <c r="F5" s="67">
        <v>12500</v>
      </c>
      <c r="G5" s="67">
        <v>12500</v>
      </c>
      <c r="H5" s="67">
        <v>12500</v>
      </c>
      <c r="I5" s="67">
        <v>12500</v>
      </c>
      <c r="J5" s="67">
        <v>12500</v>
      </c>
      <c r="K5" s="67">
        <v>12500</v>
      </c>
      <c r="L5" s="67">
        <v>12500</v>
      </c>
      <c r="M5" s="67">
        <v>12500</v>
      </c>
      <c r="N5" s="67">
        <v>12500</v>
      </c>
      <c r="O5" s="68">
        <f>SUM(Revenue9[[#This Row],[Jan]:[Dec]])</f>
        <v>150000</v>
      </c>
      <c r="P5" s="18">
        <v>0.12</v>
      </c>
      <c r="Q5" s="19">
        <f>IFERROR(Revenue9[[#This Row],[Jan]]/Revenue9[[#Totals],[Jan]],"-")</f>
        <v>0.36529626988672892</v>
      </c>
      <c r="R5" s="19">
        <f>IFERROR(Revenue9[[#This Row],[Feb]]/Revenue9[[#Totals],[Feb]],"-")</f>
        <v>0.39145807170885538</v>
      </c>
      <c r="S5" s="19">
        <f>IFERROR(Revenue9[[#This Row],[Mar]]/Revenue9[[#Totals],[Mar]],"-")</f>
        <v>0.36529626988672892</v>
      </c>
      <c r="T5" s="19">
        <f>IFERROR(Revenue9[[#This Row],[Apr]]/Revenue9[[#Totals],[Apr]],"-")</f>
        <v>0.37361947603604678</v>
      </c>
      <c r="U5" s="19">
        <f>IFERROR(Revenue9[[#This Row],[May]]/Revenue9[[#Totals],[May]],"-")</f>
        <v>0.36529626988672892</v>
      </c>
      <c r="V5" s="19">
        <f>IFERROR(Revenue9[[#This Row],[Jun]]/Revenue9[[#Totals],[Jun]],"-")</f>
        <v>0.37361947603604678</v>
      </c>
      <c r="W5" s="19">
        <f>IFERROR(Revenue9[[#This Row],[Jul]]/Revenue9[[#Totals],[Jul]],"-")</f>
        <v>0.36529626988672892</v>
      </c>
      <c r="X5" s="19">
        <f>IFERROR(Revenue9[[#This Row],[Aug]]/Revenue9[[#Totals],[Aug]],"-")</f>
        <v>0.36529626988672892</v>
      </c>
      <c r="Y5" s="19">
        <f>IFERROR(Revenue9[[#This Row],[Sep]]/Revenue9[[#Totals],[Sep]],"-")</f>
        <v>0.37361947603604678</v>
      </c>
      <c r="Z5" s="19">
        <f>IFERROR(Revenue9[[#This Row],[Oct]]/Revenue9[[#Totals],[Oct]],"-")</f>
        <v>0.36529626988672892</v>
      </c>
      <c r="AA5" s="19">
        <f>IFERROR(Revenue9[[#This Row],[Nov]]/Revenue9[[#Totals],[Nov]],"-")</f>
        <v>0.37361947603604678</v>
      </c>
      <c r="AB5" s="19">
        <f>IFERROR(Revenue9[[#This Row],[Dec]]/Revenue9[[#Totals],[Dec]],"-")</f>
        <v>0.36529626988672892</v>
      </c>
      <c r="AC5" s="51"/>
      <c r="AD5" s="104">
        <f>O5*0.124</f>
        <v>18600</v>
      </c>
      <c r="AE5" s="105">
        <f>Revenue9[[#This Row],[Yearly Gross]]*0.029</f>
        <v>4350</v>
      </c>
      <c r="AF5" s="105">
        <f>Revenue9[[#This Row],[Medicare]]+Revenue9[[#This Row],[FICA Tax]]</f>
        <v>22950</v>
      </c>
      <c r="AG5" s="105">
        <f>Revenue9[[#This Row],[Yearly Gross]]-Revenue9[[#This Row],[Total Taxes]]</f>
        <v>127050</v>
      </c>
      <c r="AH5" s="55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9" ht="16.2" customHeight="1" x14ac:dyDescent="0.3">
      <c r="A6" s="14" t="s">
        <v>36</v>
      </c>
      <c r="B6" s="37"/>
      <c r="C6" s="67">
        <v>4650</v>
      </c>
      <c r="D6" s="67">
        <v>4200</v>
      </c>
      <c r="E6" s="67">
        <v>4650</v>
      </c>
      <c r="F6" s="67">
        <v>4500</v>
      </c>
      <c r="G6" s="67">
        <v>4650</v>
      </c>
      <c r="H6" s="67">
        <v>4500</v>
      </c>
      <c r="I6" s="67">
        <v>4650</v>
      </c>
      <c r="J6" s="67">
        <v>4650</v>
      </c>
      <c r="K6" s="67">
        <v>4500</v>
      </c>
      <c r="L6" s="67">
        <v>4650</v>
      </c>
      <c r="M6" s="67">
        <v>4500</v>
      </c>
      <c r="N6" s="67">
        <v>4650</v>
      </c>
      <c r="O6" s="68">
        <f>SUM(Revenue9[[#This Row],[Jan]:[Dec]])</f>
        <v>54750</v>
      </c>
      <c r="P6" s="18">
        <v>0.18</v>
      </c>
      <c r="Q6" s="19">
        <f>IFERROR(Revenue9[[#This Row],[Jan]]/Revenue9[[#Totals],[Jan]],"-")</f>
        <v>0.13589021239786314</v>
      </c>
      <c r="R6" s="19">
        <f>IFERROR(Revenue9[[#This Row],[Feb]]/Revenue9[[#Totals],[Feb]],"-")</f>
        <v>0.13152991209417542</v>
      </c>
      <c r="S6" s="19">
        <f>IFERROR(Revenue9[[#This Row],[Mar]]/Revenue9[[#Totals],[Mar]],"-")</f>
        <v>0.13589021239786314</v>
      </c>
      <c r="T6" s="19">
        <f>IFERROR(Revenue9[[#This Row],[Apr]]/Revenue9[[#Totals],[Apr]],"-")</f>
        <v>0.13450301137297685</v>
      </c>
      <c r="U6" s="19">
        <f>IFERROR(Revenue9[[#This Row],[May]]/Revenue9[[#Totals],[May]],"-")</f>
        <v>0.13589021239786314</v>
      </c>
      <c r="V6" s="19">
        <f>IFERROR(Revenue9[[#This Row],[Jun]]/Revenue9[[#Totals],[Jun]],"-")</f>
        <v>0.13450301137297685</v>
      </c>
      <c r="W6" s="19">
        <f>IFERROR(Revenue9[[#This Row],[Jul]]/Revenue9[[#Totals],[Jul]],"-")</f>
        <v>0.13589021239786314</v>
      </c>
      <c r="X6" s="19">
        <f>IFERROR(Revenue9[[#This Row],[Aug]]/Revenue9[[#Totals],[Aug]],"-")</f>
        <v>0.13589021239786314</v>
      </c>
      <c r="Y6" s="19">
        <f>IFERROR(Revenue9[[#This Row],[Sep]]/Revenue9[[#Totals],[Sep]],"-")</f>
        <v>0.13450301137297685</v>
      </c>
      <c r="Z6" s="19">
        <f>IFERROR(Revenue9[[#This Row],[Oct]]/Revenue9[[#Totals],[Oct]],"-")</f>
        <v>0.13589021239786314</v>
      </c>
      <c r="AA6" s="19">
        <f>IFERROR(Revenue9[[#This Row],[Nov]]/Revenue9[[#Totals],[Nov]],"-")</f>
        <v>0.13450301137297685</v>
      </c>
      <c r="AB6" s="19">
        <f>IFERROR(Revenue9[[#This Row],[Dec]]/Revenue9[[#Totals],[Dec]],"-")</f>
        <v>0.13589021239786314</v>
      </c>
      <c r="AC6" s="19"/>
      <c r="AD6" s="104">
        <f t="shared" ref="AD6:AD11" si="0">O6*0.124</f>
        <v>6789</v>
      </c>
      <c r="AE6" s="105">
        <f t="shared" ref="AE6:AE13" si="1">O6*0.029</f>
        <v>1587.75</v>
      </c>
      <c r="AF6" s="105">
        <f>Revenue9[[#This Row],[Medicare]]+Revenue9[[#This Row],[FICA Tax]]</f>
        <v>8376.75</v>
      </c>
      <c r="AG6" s="105">
        <f>Revenue9[[#This Row],[Yearly Gross]]-Revenue9[[#This Row],[Total Taxes]]</f>
        <v>46373.25</v>
      </c>
      <c r="AH6" s="55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9" ht="16.2" customHeight="1" x14ac:dyDescent="0.3">
      <c r="A7" s="14" t="s">
        <v>37</v>
      </c>
      <c r="B7" s="21"/>
      <c r="C7" s="67">
        <v>4650</v>
      </c>
      <c r="D7" s="67">
        <v>4200</v>
      </c>
      <c r="E7" s="67">
        <v>4650</v>
      </c>
      <c r="F7" s="67">
        <v>4500</v>
      </c>
      <c r="G7" s="67">
        <v>4650</v>
      </c>
      <c r="H7" s="67">
        <v>4500</v>
      </c>
      <c r="I7" s="67">
        <v>4650</v>
      </c>
      <c r="J7" s="67">
        <v>4650</v>
      </c>
      <c r="K7" s="67">
        <v>4500</v>
      </c>
      <c r="L7" s="67">
        <v>4650</v>
      </c>
      <c r="M7" s="67">
        <v>4500</v>
      </c>
      <c r="N7" s="67">
        <v>4650</v>
      </c>
      <c r="O7" s="68">
        <f>SUM(Revenue9[[#This Row],[Jan]:[Dec]])</f>
        <v>54750</v>
      </c>
      <c r="P7" s="18">
        <v>0.19</v>
      </c>
      <c r="Q7" s="19">
        <f>IFERROR(Revenue9[[#This Row],[Jan]]/Revenue9[[#Totals],[Jan]],"-")</f>
        <v>0.13589021239786314</v>
      </c>
      <c r="R7" s="19">
        <f>IFERROR(Revenue9[[#This Row],[Feb]]/Revenue9[[#Totals],[Feb]],"-")</f>
        <v>0.13152991209417542</v>
      </c>
      <c r="S7" s="19">
        <f>IFERROR(Revenue9[[#This Row],[Mar]]/Revenue9[[#Totals],[Mar]],"-")</f>
        <v>0.13589021239786314</v>
      </c>
      <c r="T7" s="19">
        <f>IFERROR(Revenue9[[#This Row],[Apr]]/Revenue9[[#Totals],[Apr]],"-")</f>
        <v>0.13450301137297685</v>
      </c>
      <c r="U7" s="19">
        <f>IFERROR(Revenue9[[#This Row],[May]]/Revenue9[[#Totals],[May]],"-")</f>
        <v>0.13589021239786314</v>
      </c>
      <c r="V7" s="19">
        <f>IFERROR(Revenue9[[#This Row],[Jun]]/Revenue9[[#Totals],[Jun]],"-")</f>
        <v>0.13450301137297685</v>
      </c>
      <c r="W7" s="19">
        <f>IFERROR(Revenue9[[#This Row],[Jul]]/Revenue9[[#Totals],[Jul]],"-")</f>
        <v>0.13589021239786314</v>
      </c>
      <c r="X7" s="19">
        <f>IFERROR(Revenue9[[#This Row],[Aug]]/Revenue9[[#Totals],[Aug]],"-")</f>
        <v>0.13589021239786314</v>
      </c>
      <c r="Y7" s="19">
        <f>IFERROR(Revenue9[[#This Row],[Sep]]/Revenue9[[#Totals],[Sep]],"-")</f>
        <v>0.13450301137297685</v>
      </c>
      <c r="Z7" s="19">
        <f>IFERROR(Revenue9[[#This Row],[Oct]]/Revenue9[[#Totals],[Oct]],"-")</f>
        <v>0.13589021239786314</v>
      </c>
      <c r="AA7" s="19">
        <f>IFERROR(Revenue9[[#This Row],[Nov]]/Revenue9[[#Totals],[Nov]],"-")</f>
        <v>0.13450301137297685</v>
      </c>
      <c r="AB7" s="19">
        <f>IFERROR(Revenue9[[#This Row],[Dec]]/Revenue9[[#Totals],[Dec]],"-")</f>
        <v>0.13589021239786314</v>
      </c>
      <c r="AC7" s="19"/>
      <c r="AD7" s="104">
        <f t="shared" si="0"/>
        <v>6789</v>
      </c>
      <c r="AE7" s="105">
        <f t="shared" si="1"/>
        <v>1587.75</v>
      </c>
      <c r="AF7" s="105">
        <f>Revenue9[[#This Row],[Medicare]]+Revenue9[[#This Row],[FICA Tax]]</f>
        <v>8376.75</v>
      </c>
      <c r="AG7" s="105">
        <f>Revenue9[[#This Row],[Yearly Gross]]-Revenue9[[#This Row],[Total Taxes]]</f>
        <v>46373.25</v>
      </c>
      <c r="AH7" s="55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</row>
    <row r="8" spans="1:49" ht="16.2" customHeight="1" x14ac:dyDescent="0.3">
      <c r="A8" s="14" t="s">
        <v>38</v>
      </c>
      <c r="B8" s="21"/>
      <c r="C8" s="67">
        <v>4650</v>
      </c>
      <c r="D8" s="67">
        <v>4200</v>
      </c>
      <c r="E8" s="67">
        <v>4650</v>
      </c>
      <c r="F8" s="67">
        <v>4500</v>
      </c>
      <c r="G8" s="67">
        <v>4650</v>
      </c>
      <c r="H8" s="67">
        <v>4500</v>
      </c>
      <c r="I8" s="67">
        <v>4650</v>
      </c>
      <c r="J8" s="67">
        <v>4650</v>
      </c>
      <c r="K8" s="67">
        <v>4500</v>
      </c>
      <c r="L8" s="67">
        <v>4650</v>
      </c>
      <c r="M8" s="67">
        <v>4500</v>
      </c>
      <c r="N8" s="67">
        <v>4650</v>
      </c>
      <c r="O8" s="68">
        <f>SUM(Revenue9[[#This Row],[Jan]:[Dec]])</f>
        <v>54750</v>
      </c>
      <c r="P8" s="18">
        <v>0.11</v>
      </c>
      <c r="Q8" s="19">
        <f>IFERROR(Revenue9[[#This Row],[Jan]]/Revenue9[[#Totals],[Jan]],"-")</f>
        <v>0.13589021239786314</v>
      </c>
      <c r="R8" s="19">
        <f>IFERROR(Revenue9[[#This Row],[Feb]]/Revenue9[[#Totals],[Feb]],"-")</f>
        <v>0.13152991209417542</v>
      </c>
      <c r="S8" s="19">
        <f>IFERROR(Revenue9[[#This Row],[Mar]]/Revenue9[[#Totals],[Mar]],"-")</f>
        <v>0.13589021239786314</v>
      </c>
      <c r="T8" s="19">
        <f>IFERROR(Revenue9[[#This Row],[Apr]]/Revenue9[[#Totals],[Apr]],"-")</f>
        <v>0.13450301137297685</v>
      </c>
      <c r="U8" s="19">
        <f>IFERROR(Revenue9[[#This Row],[May]]/Revenue9[[#Totals],[May]],"-")</f>
        <v>0.13589021239786314</v>
      </c>
      <c r="V8" s="19">
        <f>IFERROR(Revenue9[[#This Row],[Jun]]/Revenue9[[#Totals],[Jun]],"-")</f>
        <v>0.13450301137297685</v>
      </c>
      <c r="W8" s="19">
        <f>IFERROR(Revenue9[[#This Row],[Jul]]/Revenue9[[#Totals],[Jul]],"-")</f>
        <v>0.13589021239786314</v>
      </c>
      <c r="X8" s="19">
        <f>IFERROR(Revenue9[[#This Row],[Aug]]/Revenue9[[#Totals],[Aug]],"-")</f>
        <v>0.13589021239786314</v>
      </c>
      <c r="Y8" s="19">
        <f>IFERROR(Revenue9[[#This Row],[Sep]]/Revenue9[[#Totals],[Sep]],"-")</f>
        <v>0.13450301137297685</v>
      </c>
      <c r="Z8" s="19">
        <f>IFERROR(Revenue9[[#This Row],[Oct]]/Revenue9[[#Totals],[Oct]],"-")</f>
        <v>0.13589021239786314</v>
      </c>
      <c r="AA8" s="19">
        <f>IFERROR(Revenue9[[#This Row],[Nov]]/Revenue9[[#Totals],[Nov]],"-")</f>
        <v>0.13450301137297685</v>
      </c>
      <c r="AB8" s="19">
        <f>IFERROR(Revenue9[[#This Row],[Dec]]/Revenue9[[#Totals],[Dec]],"-")</f>
        <v>0.13589021239786314</v>
      </c>
      <c r="AC8" s="19"/>
      <c r="AD8" s="104">
        <f t="shared" si="0"/>
        <v>6789</v>
      </c>
      <c r="AE8" s="105">
        <f t="shared" si="1"/>
        <v>1587.75</v>
      </c>
      <c r="AF8" s="105">
        <f>Revenue9[[#This Row],[Medicare]]+Revenue9[[#This Row],[FICA Tax]]</f>
        <v>8376.75</v>
      </c>
      <c r="AG8" s="105">
        <f>Revenue9[[#This Row],[Yearly Gross]]-Revenue9[[#This Row],[Total Taxes]]</f>
        <v>46373.25</v>
      </c>
      <c r="AH8" s="55"/>
    </row>
    <row r="9" spans="1:49" ht="16.2" customHeight="1" x14ac:dyDescent="0.3">
      <c r="A9" s="14" t="s">
        <v>39</v>
      </c>
      <c r="B9" s="21"/>
      <c r="C9" s="67">
        <v>4650</v>
      </c>
      <c r="D9" s="67">
        <v>4200</v>
      </c>
      <c r="E9" s="67">
        <v>4650</v>
      </c>
      <c r="F9" s="67">
        <v>4500</v>
      </c>
      <c r="G9" s="67">
        <v>4650</v>
      </c>
      <c r="H9" s="67">
        <v>4500</v>
      </c>
      <c r="I9" s="67">
        <v>4650</v>
      </c>
      <c r="J9" s="67">
        <v>4650</v>
      </c>
      <c r="K9" s="67">
        <v>4500</v>
      </c>
      <c r="L9" s="67">
        <v>4650</v>
      </c>
      <c r="M9" s="67">
        <v>4500</v>
      </c>
      <c r="N9" s="67">
        <v>4650</v>
      </c>
      <c r="O9" s="68">
        <f>SUM(Revenue9[[#This Row],[Jan]:[Dec]])</f>
        <v>54750</v>
      </c>
      <c r="P9" s="18">
        <v>0.2</v>
      </c>
      <c r="Q9" s="19">
        <f>IFERROR(Revenue9[[#This Row],[Jan]]/Revenue9[[#Totals],[Jan]],"-")</f>
        <v>0.13589021239786314</v>
      </c>
      <c r="R9" s="19">
        <f>IFERROR(Revenue9[[#This Row],[Feb]]/Revenue9[[#Totals],[Feb]],"-")</f>
        <v>0.13152991209417542</v>
      </c>
      <c r="S9" s="19">
        <f>IFERROR(Revenue9[[#This Row],[Mar]]/Revenue9[[#Totals],[Mar]],"-")</f>
        <v>0.13589021239786314</v>
      </c>
      <c r="T9" s="19">
        <f>IFERROR(Revenue9[[#This Row],[Apr]]/Revenue9[[#Totals],[Apr]],"-")</f>
        <v>0.13450301137297685</v>
      </c>
      <c r="U9" s="19">
        <f>IFERROR(Revenue9[[#This Row],[May]]/Revenue9[[#Totals],[May]],"-")</f>
        <v>0.13589021239786314</v>
      </c>
      <c r="V9" s="19">
        <f>IFERROR(Revenue9[[#This Row],[Jun]]/Revenue9[[#Totals],[Jun]],"-")</f>
        <v>0.13450301137297685</v>
      </c>
      <c r="W9" s="19">
        <f>IFERROR(Revenue9[[#This Row],[Jul]]/Revenue9[[#Totals],[Jul]],"-")</f>
        <v>0.13589021239786314</v>
      </c>
      <c r="X9" s="19">
        <f>IFERROR(Revenue9[[#This Row],[Aug]]/Revenue9[[#Totals],[Aug]],"-")</f>
        <v>0.13589021239786314</v>
      </c>
      <c r="Y9" s="19">
        <f>IFERROR(Revenue9[[#This Row],[Sep]]/Revenue9[[#Totals],[Sep]],"-")</f>
        <v>0.13450301137297685</v>
      </c>
      <c r="Z9" s="19">
        <f>IFERROR(Revenue9[[#This Row],[Oct]]/Revenue9[[#Totals],[Oct]],"-")</f>
        <v>0.13589021239786314</v>
      </c>
      <c r="AA9" s="19">
        <f>IFERROR(Revenue9[[#This Row],[Nov]]/Revenue9[[#Totals],[Nov]],"-")</f>
        <v>0.13450301137297685</v>
      </c>
      <c r="AB9" s="19">
        <f>IFERROR(Revenue9[[#This Row],[Dec]]/Revenue9[[#Totals],[Dec]],"-")</f>
        <v>0.13589021239786314</v>
      </c>
      <c r="AC9" s="19"/>
      <c r="AD9" s="104">
        <f t="shared" si="0"/>
        <v>6789</v>
      </c>
      <c r="AE9" s="105">
        <f t="shared" si="1"/>
        <v>1587.75</v>
      </c>
      <c r="AF9" s="105">
        <f>Revenue9[[#This Row],[Medicare]]+Revenue9[[#This Row],[FICA Tax]]</f>
        <v>8376.75</v>
      </c>
      <c r="AG9" s="105">
        <f>Revenue9[[#This Row],[Yearly Gross]]-Revenue9[[#This Row],[Total Taxes]]</f>
        <v>46373.25</v>
      </c>
      <c r="AH9" s="55"/>
    </row>
    <row r="10" spans="1:49" ht="16.2" customHeight="1" x14ac:dyDescent="0.3">
      <c r="A10" s="14" t="s">
        <v>40</v>
      </c>
      <c r="B10" s="21"/>
      <c r="C10" s="67">
        <v>4650</v>
      </c>
      <c r="D10" s="67">
        <v>4200</v>
      </c>
      <c r="E10" s="67">
        <v>4650</v>
      </c>
      <c r="F10" s="67">
        <v>4500</v>
      </c>
      <c r="G10" s="67">
        <v>4650</v>
      </c>
      <c r="H10" s="67">
        <v>4500</v>
      </c>
      <c r="I10" s="67">
        <v>4650</v>
      </c>
      <c r="J10" s="67">
        <v>4650</v>
      </c>
      <c r="K10" s="67">
        <v>4500</v>
      </c>
      <c r="L10" s="67">
        <v>4650</v>
      </c>
      <c r="M10" s="67">
        <v>4500</v>
      </c>
      <c r="N10" s="67">
        <v>4650</v>
      </c>
      <c r="O10" s="68">
        <f>SUM(Revenue9[[#This Row],[Jan]:[Dec]])</f>
        <v>54750</v>
      </c>
      <c r="P10" s="18">
        <v>0.1</v>
      </c>
      <c r="Q10" s="19">
        <f>IFERROR(Revenue9[[#This Row],[Jan]]/Revenue9[[#Totals],[Jan]],"-")</f>
        <v>0.13589021239786314</v>
      </c>
      <c r="R10" s="19">
        <f>IFERROR(Revenue9[[#This Row],[Feb]]/Revenue9[[#Totals],[Feb]],"-")</f>
        <v>0.13152991209417542</v>
      </c>
      <c r="S10" s="19">
        <f>IFERROR(Revenue9[[#This Row],[Mar]]/Revenue9[[#Totals],[Mar]],"-")</f>
        <v>0.13589021239786314</v>
      </c>
      <c r="T10" s="19">
        <f>IFERROR(Revenue9[[#This Row],[Apr]]/Revenue9[[#Totals],[Apr]],"-")</f>
        <v>0.13450301137297685</v>
      </c>
      <c r="U10" s="19">
        <f>IFERROR(Revenue9[[#This Row],[May]]/Revenue9[[#Totals],[May]],"-")</f>
        <v>0.13589021239786314</v>
      </c>
      <c r="V10" s="19">
        <f>IFERROR(Revenue9[[#This Row],[Jun]]/Revenue9[[#Totals],[Jun]],"-")</f>
        <v>0.13450301137297685</v>
      </c>
      <c r="W10" s="19">
        <f>IFERROR(Revenue9[[#This Row],[Jul]]/Revenue9[[#Totals],[Jul]],"-")</f>
        <v>0.13589021239786314</v>
      </c>
      <c r="X10" s="19">
        <f>IFERROR(Revenue9[[#This Row],[Aug]]/Revenue9[[#Totals],[Aug]],"-")</f>
        <v>0.13589021239786314</v>
      </c>
      <c r="Y10" s="19">
        <f>IFERROR(Revenue9[[#This Row],[Sep]]/Revenue9[[#Totals],[Sep]],"-")</f>
        <v>0.13450301137297685</v>
      </c>
      <c r="Z10" s="19">
        <f>IFERROR(Revenue9[[#This Row],[Oct]]/Revenue9[[#Totals],[Oct]],"-")</f>
        <v>0.13589021239786314</v>
      </c>
      <c r="AA10" s="19">
        <f>IFERROR(Revenue9[[#This Row],[Nov]]/Revenue9[[#Totals],[Nov]],"-")</f>
        <v>0.13450301137297685</v>
      </c>
      <c r="AB10" s="19">
        <f>IFERROR(Revenue9[[#This Row],[Dec]]/Revenue9[[#Totals],[Dec]],"-")</f>
        <v>0.13589021239786314</v>
      </c>
      <c r="AC10" s="19"/>
      <c r="AD10" s="104">
        <f t="shared" si="0"/>
        <v>6789</v>
      </c>
      <c r="AE10" s="105">
        <f t="shared" si="1"/>
        <v>1587.75</v>
      </c>
      <c r="AF10" s="105">
        <f>Revenue9[[#This Row],[Medicare]]+Revenue9[[#This Row],[FICA Tax]]</f>
        <v>8376.75</v>
      </c>
      <c r="AG10" s="105">
        <f>Revenue9[[#This Row],[Yearly Gross]]-Revenue9[[#This Row],[Total Taxes]]</f>
        <v>46373.25</v>
      </c>
      <c r="AH10" s="55"/>
    </row>
    <row r="11" spans="1:49" ht="16.2" customHeight="1" x14ac:dyDescent="0.3">
      <c r="A11" s="14" t="s">
        <v>41</v>
      </c>
      <c r="B11" s="21"/>
      <c r="C11" s="67">
        <v>4650</v>
      </c>
      <c r="D11" s="67">
        <v>4200</v>
      </c>
      <c r="E11" s="67">
        <v>4650</v>
      </c>
      <c r="F11" s="67">
        <v>4500</v>
      </c>
      <c r="G11" s="67">
        <v>4650</v>
      </c>
      <c r="H11" s="67">
        <v>4500</v>
      </c>
      <c r="I11" s="67">
        <v>4650</v>
      </c>
      <c r="J11" s="67">
        <v>4650</v>
      </c>
      <c r="K11" s="67">
        <v>4500</v>
      </c>
      <c r="L11" s="67">
        <v>4650</v>
      </c>
      <c r="M11" s="67">
        <v>4500</v>
      </c>
      <c r="N11" s="67">
        <v>4650</v>
      </c>
      <c r="O11" s="68">
        <f>SUM(Revenue9[[#This Row],[Jan]:[Dec]])</f>
        <v>54750</v>
      </c>
      <c r="P11" s="18">
        <v>0.1</v>
      </c>
      <c r="Q11" s="19">
        <f>IFERROR(Revenue9[[#This Row],[Jan]]/Revenue9[[#Totals],[Jan]],"-")</f>
        <v>0.13589021239786314</v>
      </c>
      <c r="R11" s="19">
        <f>IFERROR(Revenue9[[#This Row],[Feb]]/Revenue9[[#Totals],[Feb]],"-")</f>
        <v>0.13152991209417542</v>
      </c>
      <c r="S11" s="19">
        <f>IFERROR(Revenue9[[#This Row],[Mar]]/Revenue9[[#Totals],[Mar]],"-")</f>
        <v>0.13589021239786314</v>
      </c>
      <c r="T11" s="19">
        <f>IFERROR(Revenue9[[#This Row],[Apr]]/Revenue9[[#Totals],[Apr]],"-")</f>
        <v>0.13450301137297685</v>
      </c>
      <c r="U11" s="19">
        <f>IFERROR(Revenue9[[#This Row],[May]]/Revenue9[[#Totals],[May]],"-")</f>
        <v>0.13589021239786314</v>
      </c>
      <c r="V11" s="19">
        <f>IFERROR(Revenue9[[#This Row],[Jun]]/Revenue9[[#Totals],[Jun]],"-")</f>
        <v>0.13450301137297685</v>
      </c>
      <c r="W11" s="19">
        <f>IFERROR(Revenue9[[#This Row],[Jul]]/Revenue9[[#Totals],[Jul]],"-")</f>
        <v>0.13589021239786314</v>
      </c>
      <c r="X11" s="19">
        <f>IFERROR(Revenue9[[#This Row],[Aug]]/Revenue9[[#Totals],[Aug]],"-")</f>
        <v>0.13589021239786314</v>
      </c>
      <c r="Y11" s="19">
        <f>IFERROR(Revenue9[[#This Row],[Sep]]/Revenue9[[#Totals],[Sep]],"-")</f>
        <v>0.13450301137297685</v>
      </c>
      <c r="Z11" s="19">
        <f>IFERROR(Revenue9[[#This Row],[Oct]]/Revenue9[[#Totals],[Oct]],"-")</f>
        <v>0.13589021239786314</v>
      </c>
      <c r="AA11" s="19">
        <f>IFERROR(Revenue9[[#This Row],[Nov]]/Revenue9[[#Totals],[Nov]],"-")</f>
        <v>0.13450301137297685</v>
      </c>
      <c r="AB11" s="19">
        <f>IFERROR(Revenue9[[#This Row],[Dec]]/Revenue9[[#Totals],[Dec]],"-")</f>
        <v>0.13589021239786314</v>
      </c>
      <c r="AC11" s="19"/>
      <c r="AD11" s="104">
        <f t="shared" si="0"/>
        <v>6789</v>
      </c>
      <c r="AE11" s="105">
        <f t="shared" si="1"/>
        <v>1587.75</v>
      </c>
      <c r="AF11" s="105">
        <f>Revenue9[[#This Row],[Medicare]]+Revenue9[[#This Row],[FICA Tax]]</f>
        <v>8376.75</v>
      </c>
      <c r="AG11" s="105">
        <f>Revenue9[[#This Row],[Yearly Gross]]-Revenue9[[#This Row],[Total Taxes]]</f>
        <v>46373.25</v>
      </c>
      <c r="AH11" s="55"/>
    </row>
    <row r="12" spans="1:49" ht="16.2" customHeight="1" x14ac:dyDescent="0.3">
      <c r="A12" s="88" t="s">
        <v>42</v>
      </c>
      <c r="B12" s="89"/>
      <c r="C12" s="102">
        <f>C5</f>
        <v>12500</v>
      </c>
      <c r="D12" s="102">
        <f t="shared" ref="D12:N12" si="2">D5</f>
        <v>12500</v>
      </c>
      <c r="E12" s="102">
        <f t="shared" si="2"/>
        <v>12500</v>
      </c>
      <c r="F12" s="102">
        <f t="shared" si="2"/>
        <v>12500</v>
      </c>
      <c r="G12" s="102">
        <f t="shared" si="2"/>
        <v>12500</v>
      </c>
      <c r="H12" s="102">
        <f t="shared" si="2"/>
        <v>12500</v>
      </c>
      <c r="I12" s="102">
        <f t="shared" si="2"/>
        <v>12500</v>
      </c>
      <c r="J12" s="102">
        <f t="shared" si="2"/>
        <v>12500</v>
      </c>
      <c r="K12" s="102">
        <f t="shared" si="2"/>
        <v>12500</v>
      </c>
      <c r="L12" s="102">
        <f t="shared" si="2"/>
        <v>12500</v>
      </c>
      <c r="M12" s="102">
        <f t="shared" si="2"/>
        <v>12500</v>
      </c>
      <c r="N12" s="102">
        <f t="shared" si="2"/>
        <v>12500</v>
      </c>
      <c r="O12" s="90">
        <f>SUM(Revenue9[[#This Row],[Jan]:[Dec]])</f>
        <v>150000</v>
      </c>
      <c r="P12" s="91"/>
      <c r="Q12" s="92">
        <f>IFERROR(Revenue9[[#This Row],[Jan]]/Revenue9[[#Totals],[Jan]],"-")</f>
        <v>0.36529626988672892</v>
      </c>
      <c r="R12" s="92">
        <f>IFERROR(Revenue9[[#This Row],[Feb]]/Revenue9[[#Totals],[Feb]],"-")</f>
        <v>0.39145807170885538</v>
      </c>
      <c r="S12" s="92">
        <f>IFERROR(Revenue9[[#This Row],[Mar]]/Revenue9[[#Totals],[Mar]],"-")</f>
        <v>0.36529626988672892</v>
      </c>
      <c r="T12" s="92">
        <f>IFERROR(Revenue9[[#This Row],[Apr]]/Revenue9[[#Totals],[Apr]],"-")</f>
        <v>0.37361947603604678</v>
      </c>
      <c r="U12" s="92">
        <f>IFERROR(Revenue9[[#This Row],[May]]/Revenue9[[#Totals],[May]],"-")</f>
        <v>0.36529626988672892</v>
      </c>
      <c r="V12" s="92">
        <f>IFERROR(Revenue9[[#This Row],[Jun]]/Revenue9[[#Totals],[Jun]],"-")</f>
        <v>0.37361947603604678</v>
      </c>
      <c r="W12" s="92">
        <f>IFERROR(Revenue9[[#This Row],[Jul]]/Revenue9[[#Totals],[Jul]],"-")</f>
        <v>0.36529626988672892</v>
      </c>
      <c r="X12" s="92">
        <f>IFERROR(Revenue9[[#This Row],[Aug]]/Revenue9[[#Totals],[Aug]],"-")</f>
        <v>0.36529626988672892</v>
      </c>
      <c r="Y12" s="92">
        <f>IFERROR(Revenue9[[#This Row],[Sep]]/Revenue9[[#Totals],[Sep]],"-")</f>
        <v>0.37361947603604678</v>
      </c>
      <c r="Z12" s="92">
        <f>IFERROR(Revenue9[[#This Row],[Oct]]/Revenue9[[#Totals],[Oct]],"-")</f>
        <v>0.36529626988672892</v>
      </c>
      <c r="AA12" s="92">
        <f>IFERROR(Revenue9[[#This Row],[Nov]]/Revenue9[[#Totals],[Nov]],"-")</f>
        <v>0.37361947603604678</v>
      </c>
      <c r="AB12" s="92">
        <f>IFERROR(Revenue9[[#This Row],[Dec]]/Revenue9[[#Totals],[Dec]],"-")</f>
        <v>0.36529626988672892</v>
      </c>
      <c r="AC12" s="92"/>
      <c r="AD12" s="98">
        <f>O12*0.124</f>
        <v>18600</v>
      </c>
      <c r="AE12" s="99">
        <f t="shared" si="1"/>
        <v>4350</v>
      </c>
      <c r="AF12" s="99">
        <f>Revenue9[[#This Row],[Medicare]]+Revenue9[[#This Row],[FICA Tax]]</f>
        <v>22950</v>
      </c>
      <c r="AG12" s="99">
        <f>Revenue9[[#This Row],[Yearly Gross]]-Revenue9[[#This Row],[Total Taxes]]</f>
        <v>127050</v>
      </c>
      <c r="AH12" s="55"/>
    </row>
    <row r="13" spans="1:49" ht="16.2" customHeight="1" x14ac:dyDescent="0.3">
      <c r="A13" s="20" t="s">
        <v>43</v>
      </c>
      <c r="B13" s="21"/>
      <c r="C13" s="103">
        <f>C11+C10+C9+C8+C7+C6</f>
        <v>27900</v>
      </c>
      <c r="D13" s="103">
        <f t="shared" ref="D13:N13" si="3">D11+D10+D9+D8+D7+D6</f>
        <v>25200</v>
      </c>
      <c r="E13" s="103">
        <f t="shared" si="3"/>
        <v>27900</v>
      </c>
      <c r="F13" s="103">
        <f t="shared" si="3"/>
        <v>27000</v>
      </c>
      <c r="G13" s="103">
        <f t="shared" si="3"/>
        <v>27900</v>
      </c>
      <c r="H13" s="103">
        <f t="shared" si="3"/>
        <v>27000</v>
      </c>
      <c r="I13" s="103">
        <f>I11+I10+I9+I8+I7+I6</f>
        <v>27900</v>
      </c>
      <c r="J13" s="103">
        <f>J11+J10+J9+J8+J7+J6</f>
        <v>27900</v>
      </c>
      <c r="K13" s="103">
        <f t="shared" si="3"/>
        <v>27000</v>
      </c>
      <c r="L13" s="103">
        <f t="shared" si="3"/>
        <v>27900</v>
      </c>
      <c r="M13" s="103">
        <f t="shared" si="3"/>
        <v>27000</v>
      </c>
      <c r="N13" s="103">
        <f t="shared" si="3"/>
        <v>27900</v>
      </c>
      <c r="O13" s="68">
        <f>SUM(Revenue9[[#This Row],[Jan]:[Dec]])</f>
        <v>328500</v>
      </c>
      <c r="P13" s="22">
        <f>SUM(Revenue9[[#This Row],[Jan]:[Dec]])</f>
        <v>328500</v>
      </c>
      <c r="Q13" s="22">
        <f>SUM(Revenue9[[#This Row],[Jan]:[Dec]])</f>
        <v>328500</v>
      </c>
      <c r="R13" s="22">
        <f>SUM(Revenue9[[#This Row],[Jan]:[Dec]])</f>
        <v>328500</v>
      </c>
      <c r="S13" s="22">
        <f>SUM(Revenue9[[#This Row],[Jan]:[Dec]])</f>
        <v>328500</v>
      </c>
      <c r="T13" s="22">
        <f>SUM(Revenue9[[#This Row],[Jan]:[Dec]])</f>
        <v>328500</v>
      </c>
      <c r="U13" s="22">
        <f>SUM(Revenue9[[#This Row],[Jan]:[Dec]])</f>
        <v>328500</v>
      </c>
      <c r="V13" s="22">
        <f>SUM(Revenue9[[#This Row],[Jan]:[Dec]])</f>
        <v>328500</v>
      </c>
      <c r="W13" s="22">
        <f>SUM(Revenue9[[#This Row],[Jan]:[Dec]])</f>
        <v>328500</v>
      </c>
      <c r="X13" s="22">
        <f>SUM(Revenue9[[#This Row],[Jan]:[Dec]])</f>
        <v>328500</v>
      </c>
      <c r="Y13" s="22">
        <f>SUM(Revenue9[[#This Row],[Jan]:[Dec]])</f>
        <v>328500</v>
      </c>
      <c r="Z13" s="22">
        <f>SUM(Revenue9[[#This Row],[Jan]:[Dec]])</f>
        <v>328500</v>
      </c>
      <c r="AA13" s="22">
        <f>SUM(Revenue9[[#This Row],[Jan]:[Dec]])</f>
        <v>328500</v>
      </c>
      <c r="AB13" s="22">
        <f>SUM(Revenue9[[#This Row],[Jan]:[Dec]])</f>
        <v>328500</v>
      </c>
      <c r="AC13" s="22">
        <f>SUM(Revenue9[[#This Row],[Jan]:[Dec]])</f>
        <v>328500</v>
      </c>
      <c r="AD13" s="100">
        <f>O13*0.124</f>
        <v>40734</v>
      </c>
      <c r="AE13" s="101">
        <f t="shared" si="1"/>
        <v>9526.5</v>
      </c>
      <c r="AF13" s="101">
        <f>Revenue9[[#This Row],[Medicare]]+Revenue9[[#This Row],[FICA Tax]]</f>
        <v>50260.5</v>
      </c>
      <c r="AG13" s="101">
        <f>Revenue9[[#This Row],[Yearly Gross]]-Revenue9[[#This Row],[Total Taxes]]</f>
        <v>278239.5</v>
      </c>
      <c r="AH13" s="55"/>
    </row>
    <row r="14" spans="1:49" ht="16.2" customHeight="1" x14ac:dyDescent="0.3">
      <c r="A14" s="36" t="s">
        <v>53</v>
      </c>
      <c r="B14" s="57"/>
      <c r="C14" s="103">
        <f>(C13+C12)*0.153</f>
        <v>6181.2</v>
      </c>
      <c r="D14" s="103">
        <f t="shared" ref="D14:N14" si="4">(D13+D12)*0.153</f>
        <v>5768.0999999999995</v>
      </c>
      <c r="E14" s="103">
        <f t="shared" si="4"/>
        <v>6181.2</v>
      </c>
      <c r="F14" s="103">
        <f t="shared" si="4"/>
        <v>6043.5</v>
      </c>
      <c r="G14" s="103">
        <f t="shared" si="4"/>
        <v>6181.2</v>
      </c>
      <c r="H14" s="103">
        <f t="shared" si="4"/>
        <v>6043.5</v>
      </c>
      <c r="I14" s="103">
        <f t="shared" si="4"/>
        <v>6181.2</v>
      </c>
      <c r="J14" s="103">
        <f t="shared" si="4"/>
        <v>6181.2</v>
      </c>
      <c r="K14" s="103">
        <f t="shared" si="4"/>
        <v>6043.5</v>
      </c>
      <c r="L14" s="103">
        <f t="shared" si="4"/>
        <v>6181.2</v>
      </c>
      <c r="M14" s="103">
        <f t="shared" si="4"/>
        <v>6043.5</v>
      </c>
      <c r="N14" s="103">
        <f t="shared" si="4"/>
        <v>6181.2</v>
      </c>
      <c r="O14" s="68">
        <f>SUM(Revenue9[[#This Row],[Jan]:[Dec]])</f>
        <v>73210.499999999985</v>
      </c>
      <c r="P14" s="68">
        <f>SUM(Revenue9[[#This Row],[Jan]:[Dec]])</f>
        <v>73210.499999999985</v>
      </c>
      <c r="Q14" s="68">
        <f>SUM(Revenue9[[#This Row],[Jan]:[Dec]])</f>
        <v>73210.499999999985</v>
      </c>
      <c r="R14" s="68">
        <f>SUM(Revenue9[[#This Row],[Jan]:[Dec]])</f>
        <v>73210.499999999985</v>
      </c>
      <c r="S14" s="68">
        <f>SUM(Revenue9[[#This Row],[Jan]:[Dec]])</f>
        <v>73210.499999999985</v>
      </c>
      <c r="T14" s="68">
        <f>SUM(Revenue9[[#This Row],[Jan]:[Dec]])</f>
        <v>73210.499999999985</v>
      </c>
      <c r="U14" s="68">
        <f>SUM(Revenue9[[#This Row],[Jan]:[Dec]])</f>
        <v>73210.499999999985</v>
      </c>
      <c r="V14" s="68">
        <f>SUM(Revenue9[[#This Row],[Jan]:[Dec]])</f>
        <v>73210.499999999985</v>
      </c>
      <c r="W14" s="68">
        <f>SUM(Revenue9[[#This Row],[Jan]:[Dec]])</f>
        <v>73210.499999999985</v>
      </c>
      <c r="X14" s="68">
        <f>SUM(Revenue9[[#This Row],[Jan]:[Dec]])</f>
        <v>73210.499999999985</v>
      </c>
      <c r="Y14" s="68">
        <f>SUM(Revenue9[[#This Row],[Jan]:[Dec]])</f>
        <v>73210.499999999985</v>
      </c>
      <c r="Z14" s="68">
        <f>SUM(Revenue9[[#This Row],[Jan]:[Dec]])</f>
        <v>73210.499999999985</v>
      </c>
      <c r="AA14" s="68">
        <f>SUM(Revenue9[[#This Row],[Jan]:[Dec]])</f>
        <v>73210.499999999985</v>
      </c>
      <c r="AB14" s="68">
        <f>SUM(Revenue9[[#This Row],[Jan]:[Dec]])</f>
        <v>73210.499999999985</v>
      </c>
      <c r="AC14" s="68">
        <f>SUM(Revenue9[[#This Row],[Jan]:[Dec]])</f>
        <v>73210.499999999985</v>
      </c>
      <c r="AD14" s="95">
        <f>+AD11+AD10+AD9+AD8+AD7+AD6+AD5</f>
        <v>59334</v>
      </c>
      <c r="AE14" s="95">
        <f t="shared" ref="AE14:AG14" si="5">+AE11+AE10+AE9+AE8+AE7+AE6+AE5</f>
        <v>13876.5</v>
      </c>
      <c r="AF14" s="95">
        <f t="shared" si="5"/>
        <v>73210.5</v>
      </c>
      <c r="AG14" s="95">
        <f t="shared" si="5"/>
        <v>405289.5</v>
      </c>
      <c r="AH14" s="55"/>
      <c r="AI14" s="53"/>
    </row>
    <row r="15" spans="1:49" ht="22.2" customHeight="1" x14ac:dyDescent="0.3">
      <c r="A15" s="61" t="s">
        <v>54</v>
      </c>
      <c r="B15" s="62"/>
      <c r="C15" s="69">
        <f>C13+C12</f>
        <v>40400</v>
      </c>
      <c r="D15" s="69">
        <f t="shared" ref="D15:N15" si="6">D13+D12</f>
        <v>37700</v>
      </c>
      <c r="E15" s="69">
        <f t="shared" si="6"/>
        <v>40400</v>
      </c>
      <c r="F15" s="69">
        <f t="shared" si="6"/>
        <v>39500</v>
      </c>
      <c r="G15" s="69">
        <f t="shared" si="6"/>
        <v>40400</v>
      </c>
      <c r="H15" s="69">
        <f t="shared" si="6"/>
        <v>39500</v>
      </c>
      <c r="I15" s="69">
        <f t="shared" si="6"/>
        <v>40400</v>
      </c>
      <c r="J15" s="69">
        <f t="shared" si="6"/>
        <v>40400</v>
      </c>
      <c r="K15" s="69">
        <f t="shared" si="6"/>
        <v>39500</v>
      </c>
      <c r="L15" s="69">
        <f t="shared" si="6"/>
        <v>40400</v>
      </c>
      <c r="M15" s="69">
        <f t="shared" si="6"/>
        <v>39500</v>
      </c>
      <c r="N15" s="69">
        <f t="shared" si="6"/>
        <v>40400</v>
      </c>
      <c r="O15" s="69">
        <f>O13+O12</f>
        <v>478500</v>
      </c>
      <c r="P15" s="58"/>
      <c r="Q15" s="58">
        <f>IFERROR(Revenue9[[#This Row],[Jan]]/Revenue9[[#Totals],[Jan]],"-")</f>
        <v>1.1806375442739079</v>
      </c>
      <c r="R15" s="58">
        <f>IFERROR(Revenue9[[#This Row],[Feb]]/Revenue9[[#Totals],[Feb]],"-")</f>
        <v>1.1806375442739079</v>
      </c>
      <c r="S15" s="58">
        <f>IFERROR(Revenue9[[#This Row],[Mar]]/Revenue9[[#Totals],[Mar]],"-")</f>
        <v>1.1806375442739079</v>
      </c>
      <c r="T15" s="58">
        <f>IFERROR(Revenue9[[#This Row],[Apr]]/Revenue9[[#Totals],[Apr]],"-")</f>
        <v>1.1806375442739079</v>
      </c>
      <c r="U15" s="58">
        <f>IFERROR(Revenue9[[#This Row],[May]]/Revenue9[[#Totals],[May]],"-")</f>
        <v>1.1806375442739079</v>
      </c>
      <c r="V15" s="58">
        <f>IFERROR(Revenue9[[#This Row],[Jun]]/Revenue9[[#Totals],[Jun]],"-")</f>
        <v>1.1806375442739079</v>
      </c>
      <c r="W15" s="58">
        <f>IFERROR(Revenue9[[#This Row],[Jul]]/Revenue9[[#Totals],[Jul]],"-")</f>
        <v>1.1806375442739079</v>
      </c>
      <c r="X15" s="58">
        <f>IFERROR(Revenue9[[#This Row],[Aug]]/Revenue9[[#Totals],[Aug]],"-")</f>
        <v>1.1806375442739079</v>
      </c>
      <c r="Y15" s="58">
        <f>IFERROR(Revenue9[[#This Row],[Sep]]/Revenue9[[#Totals],[Sep]],"-")</f>
        <v>1.1806375442739079</v>
      </c>
      <c r="Z15" s="58">
        <f>IFERROR(Revenue9[[#This Row],[Oct]]/Revenue9[[#Totals],[Oct]],"-")</f>
        <v>1.1806375442739079</v>
      </c>
      <c r="AA15" s="58">
        <f>IFERROR(Revenue9[[#This Row],[Nov]]/Revenue9[[#Totals],[Nov]],"-")</f>
        <v>1.1806375442739079</v>
      </c>
      <c r="AB15" s="58">
        <f>IFERROR(Revenue9[[#This Row],[Dec]]/Revenue9[[#Totals],[Dec]],"-")</f>
        <v>1.1806375442739079</v>
      </c>
      <c r="AC15" s="23">
        <f>Revenue9[[#This Row],[Yearly Gross]]</f>
        <v>478500</v>
      </c>
      <c r="AD15" s="59"/>
      <c r="AE15" s="60"/>
      <c r="AF15" s="60"/>
      <c r="AG15" s="87"/>
      <c r="AH15" s="55"/>
      <c r="AI15" s="53"/>
    </row>
    <row r="16" spans="1:49" ht="27.6" customHeight="1" thickBot="1" x14ac:dyDescent="0.35">
      <c r="A16" s="24" t="s">
        <v>55</v>
      </c>
      <c r="B16" s="25"/>
      <c r="C16" s="70">
        <f t="shared" ref="C16:N16" si="7">C15-C14</f>
        <v>34218.800000000003</v>
      </c>
      <c r="D16" s="70">
        <f t="shared" si="7"/>
        <v>31931.9</v>
      </c>
      <c r="E16" s="70">
        <f t="shared" si="7"/>
        <v>34218.800000000003</v>
      </c>
      <c r="F16" s="70">
        <f t="shared" si="7"/>
        <v>33456.5</v>
      </c>
      <c r="G16" s="70">
        <f t="shared" si="7"/>
        <v>34218.800000000003</v>
      </c>
      <c r="H16" s="70">
        <f t="shared" si="7"/>
        <v>33456.5</v>
      </c>
      <c r="I16" s="70">
        <f t="shared" si="7"/>
        <v>34218.800000000003</v>
      </c>
      <c r="J16" s="70">
        <f t="shared" si="7"/>
        <v>34218.800000000003</v>
      </c>
      <c r="K16" s="70">
        <f t="shared" si="7"/>
        <v>33456.5</v>
      </c>
      <c r="L16" s="70">
        <f t="shared" si="7"/>
        <v>34218.800000000003</v>
      </c>
      <c r="M16" s="70">
        <f t="shared" si="7"/>
        <v>33456.5</v>
      </c>
      <c r="N16" s="70">
        <f t="shared" si="7"/>
        <v>34218.800000000003</v>
      </c>
      <c r="O16" s="70">
        <f>(O12+O13)-O14</f>
        <v>405289.5</v>
      </c>
      <c r="P16" s="26">
        <f t="shared" ref="P16:AC16" si="8">P11+P10+P9+P8+P7+P6+P5</f>
        <v>0.99999999999999989</v>
      </c>
      <c r="Q16" s="26">
        <f t="shared" si="8"/>
        <v>1.1806375442739077</v>
      </c>
      <c r="R16" s="26">
        <f t="shared" si="8"/>
        <v>1.1806375442739079</v>
      </c>
      <c r="S16" s="26">
        <f t="shared" si="8"/>
        <v>1.1806375442739077</v>
      </c>
      <c r="T16" s="26">
        <f t="shared" si="8"/>
        <v>1.1806375442739079</v>
      </c>
      <c r="U16" s="26">
        <f t="shared" si="8"/>
        <v>1.1806375442739077</v>
      </c>
      <c r="V16" s="26">
        <f t="shared" si="8"/>
        <v>1.1806375442739079</v>
      </c>
      <c r="W16" s="26">
        <f t="shared" si="8"/>
        <v>1.1806375442739077</v>
      </c>
      <c r="X16" s="26">
        <f t="shared" si="8"/>
        <v>1.1806375442739077</v>
      </c>
      <c r="Y16" s="26">
        <f t="shared" si="8"/>
        <v>1.1806375442739079</v>
      </c>
      <c r="Z16" s="26">
        <f t="shared" si="8"/>
        <v>1.1806375442739077</v>
      </c>
      <c r="AA16" s="26">
        <f t="shared" si="8"/>
        <v>1.1806375442739079</v>
      </c>
      <c r="AB16" s="26">
        <f t="shared" si="8"/>
        <v>1.1806375442739077</v>
      </c>
      <c r="AC16" s="26">
        <f t="shared" si="8"/>
        <v>0</v>
      </c>
      <c r="AD16" s="26">
        <f>AD13+AD12</f>
        <v>59334</v>
      </c>
      <c r="AE16" s="56">
        <f>AE13+AE12</f>
        <v>13876.5</v>
      </c>
      <c r="AF16" s="26">
        <f>AD16+AE16</f>
        <v>73210.5</v>
      </c>
      <c r="AG16" s="26">
        <f>O15-Revenue9[[#Totals],[Total Taxes]]</f>
        <v>405289.5</v>
      </c>
      <c r="AH16" s="55"/>
    </row>
    <row r="17" spans="1:29" ht="34.799999999999997" thickTop="1" thickBot="1" x14ac:dyDescent="0.35">
      <c r="A17" s="114" t="s">
        <v>44</v>
      </c>
      <c r="B17" s="115"/>
      <c r="C17" s="116"/>
      <c r="D17" s="117"/>
      <c r="E17" s="116"/>
      <c r="F17" s="117"/>
      <c r="G17" s="116"/>
      <c r="H17" s="116"/>
      <c r="I17" s="116"/>
      <c r="J17" s="117"/>
      <c r="K17" s="117"/>
      <c r="L17" s="117"/>
      <c r="M17" s="117"/>
      <c r="N17" s="117"/>
      <c r="O17" s="116"/>
      <c r="W17" s="27"/>
      <c r="X17" s="27"/>
      <c r="Y17" s="27"/>
      <c r="Z17" s="27"/>
      <c r="AA17" s="28" t="s">
        <v>45</v>
      </c>
      <c r="AB17" s="28" t="e">
        <f>FYMonthStart</f>
        <v>#REF!</v>
      </c>
      <c r="AC17" s="28" t="e">
        <f>FYStartYear</f>
        <v>#REF!</v>
      </c>
    </row>
    <row r="18" spans="1:29" x14ac:dyDescent="0.3">
      <c r="C18" s="110" t="s">
        <v>3</v>
      </c>
      <c r="D18" s="110" t="s">
        <v>4</v>
      </c>
      <c r="E18" s="110" t="s">
        <v>5</v>
      </c>
      <c r="F18" s="110" t="s">
        <v>6</v>
      </c>
      <c r="G18" s="110" t="s">
        <v>7</v>
      </c>
      <c r="H18" s="110" t="s">
        <v>8</v>
      </c>
      <c r="I18" s="110" t="s">
        <v>9</v>
      </c>
      <c r="J18" s="110" t="s">
        <v>10</v>
      </c>
      <c r="K18" s="110" t="s">
        <v>11</v>
      </c>
      <c r="L18" s="110" t="s">
        <v>12</v>
      </c>
      <c r="M18" s="110" t="s">
        <v>13</v>
      </c>
      <c r="N18" s="110" t="s">
        <v>14</v>
      </c>
      <c r="O18" s="110" t="s">
        <v>79</v>
      </c>
      <c r="P18" s="29" t="s">
        <v>16</v>
      </c>
      <c r="Q18" s="29" t="str">
        <f>LEFT(C18,3)&amp;" %"</f>
        <v>Jan %</v>
      </c>
      <c r="R18" s="29" t="str">
        <f t="shared" ref="R18:AB18" si="9">LEFT(D18,3)&amp;" %"</f>
        <v>Feb %</v>
      </c>
      <c r="S18" s="29" t="str">
        <f t="shared" si="9"/>
        <v>Mar %</v>
      </c>
      <c r="T18" s="29" t="str">
        <f t="shared" si="9"/>
        <v>Apr %</v>
      </c>
      <c r="U18" s="29" t="str">
        <f t="shared" si="9"/>
        <v>May %</v>
      </c>
      <c r="V18" s="29" t="str">
        <f t="shared" si="9"/>
        <v>Jun %</v>
      </c>
      <c r="W18" s="29" t="str">
        <f t="shared" si="9"/>
        <v>Jul %</v>
      </c>
      <c r="X18" s="29" t="str">
        <f t="shared" si="9"/>
        <v>Aug %</v>
      </c>
      <c r="Y18" s="29" t="str">
        <f t="shared" si="9"/>
        <v>Sep %</v>
      </c>
      <c r="Z18" s="29" t="str">
        <f t="shared" si="9"/>
        <v>Oct %</v>
      </c>
      <c r="AA18" s="29" t="str">
        <f t="shared" si="9"/>
        <v>Nov %</v>
      </c>
      <c r="AB18" s="29" t="str">
        <f t="shared" si="9"/>
        <v>Dec %</v>
      </c>
      <c r="AC18" s="29" t="s">
        <v>17</v>
      </c>
    </row>
    <row r="19" spans="1:29" ht="15.6" x14ac:dyDescent="0.3">
      <c r="A19" s="97" t="s">
        <v>46</v>
      </c>
      <c r="B19" s="97" t="s">
        <v>19</v>
      </c>
      <c r="C19" s="66" t="s">
        <v>3</v>
      </c>
      <c r="D19" s="66" t="s">
        <v>4</v>
      </c>
      <c r="E19" s="66" t="s">
        <v>5</v>
      </c>
      <c r="F19" s="66" t="s">
        <v>6</v>
      </c>
      <c r="G19" s="66" t="s">
        <v>7</v>
      </c>
      <c r="H19" s="66" t="s">
        <v>8</v>
      </c>
      <c r="I19" s="66" t="s">
        <v>9</v>
      </c>
      <c r="J19" s="66" t="s">
        <v>10</v>
      </c>
      <c r="K19" s="66" t="s">
        <v>11</v>
      </c>
      <c r="L19" s="66" t="s">
        <v>12</v>
      </c>
      <c r="M19" s="66" t="s">
        <v>13</v>
      </c>
      <c r="N19" s="66" t="s">
        <v>14</v>
      </c>
      <c r="O19" s="66" t="s">
        <v>44</v>
      </c>
      <c r="P19" s="30" t="s">
        <v>21</v>
      </c>
      <c r="Q19" s="30" t="s">
        <v>22</v>
      </c>
      <c r="R19" s="30" t="s">
        <v>23</v>
      </c>
      <c r="S19" s="30" t="s">
        <v>24</v>
      </c>
      <c r="T19" s="30" t="s">
        <v>25</v>
      </c>
      <c r="U19" s="30" t="s">
        <v>26</v>
      </c>
      <c r="V19" s="30" t="s">
        <v>27</v>
      </c>
      <c r="W19" s="30" t="s">
        <v>28</v>
      </c>
      <c r="X19" s="30" t="s">
        <v>29</v>
      </c>
      <c r="Y19" s="30" t="s">
        <v>30</v>
      </c>
      <c r="Z19" s="30" t="s">
        <v>31</v>
      </c>
      <c r="AA19" s="30" t="s">
        <v>32</v>
      </c>
      <c r="AB19" s="30" t="s">
        <v>33</v>
      </c>
      <c r="AC19" s="12" t="s">
        <v>34</v>
      </c>
    </row>
    <row r="20" spans="1:29" x14ac:dyDescent="0.3">
      <c r="A20" s="14" t="s">
        <v>80</v>
      </c>
      <c r="B20" s="21"/>
      <c r="C20" s="71">
        <v>3200</v>
      </c>
      <c r="D20" s="71">
        <v>3200</v>
      </c>
      <c r="E20" s="71">
        <v>3200</v>
      </c>
      <c r="F20" s="71">
        <v>3200</v>
      </c>
      <c r="G20" s="71">
        <v>3200</v>
      </c>
      <c r="H20" s="71">
        <v>3200</v>
      </c>
      <c r="I20" s="71">
        <v>3200</v>
      </c>
      <c r="J20" s="71">
        <v>3200</v>
      </c>
      <c r="K20" s="71">
        <v>3200</v>
      </c>
      <c r="L20" s="71">
        <v>3200</v>
      </c>
      <c r="M20" s="71">
        <v>3200</v>
      </c>
      <c r="N20" s="71">
        <v>3200</v>
      </c>
      <c r="O20" s="72">
        <f>SUM(CostofSales5710[[#This Row],[Jan]:[Dec]])</f>
        <v>38400</v>
      </c>
      <c r="P20" s="34">
        <v>0.12</v>
      </c>
      <c r="Q20" s="35">
        <f>IFERROR(CostofSales5710[[#This Row],[Jan]]/CostofSales5710[[#Totals],[Jan]],"-")</f>
        <v>0.26229508196721313</v>
      </c>
      <c r="R20" s="35">
        <f>IFERROR(CostofSales5710[[#This Row],[Feb]]/CostofSales5710[[#Totals],[Feb]],"-")</f>
        <v>0.26229508196721313</v>
      </c>
      <c r="S20" s="35">
        <f>IFERROR(CostofSales5710[[#This Row],[Mar]]/CostofSales5710[[#Totals],[Mar]],"-")</f>
        <v>0.26229508196721313</v>
      </c>
      <c r="T20" s="35">
        <f>IFERROR(CostofSales5710[[#This Row],[Apr]]/CostofSales5710[[#Totals],[Apr]],"-")</f>
        <v>0.26229508196721313</v>
      </c>
      <c r="U20" s="35">
        <f>IFERROR(CostofSales5710[[#This Row],[May]]/CostofSales5710[[#Totals],[May]],"-")</f>
        <v>0.26229508196721313</v>
      </c>
      <c r="V20" s="35">
        <f>IFERROR(CostofSales5710[[#This Row],[Jun]]/CostofSales5710[[#Totals],[Jun]],"-")</f>
        <v>0.26229508196721313</v>
      </c>
      <c r="W20" s="35">
        <f>IFERROR(CostofSales5710[[#This Row],[Jul]]/CostofSales5710[[#Totals],[Jul]],"-")</f>
        <v>0.26229508196721313</v>
      </c>
      <c r="X20" s="35">
        <f>IFERROR(CostofSales5710[[#This Row],[Aug]]/CostofSales5710[[#Totals],[Aug]],"-")</f>
        <v>0.26229508196721313</v>
      </c>
      <c r="Y20" s="35">
        <f>IFERROR(CostofSales5710[[#This Row],[Sep]]/CostofSales5710[[#Totals],[Sep]],"-")</f>
        <v>0.26229508196721313</v>
      </c>
      <c r="Z20" s="35">
        <f>IFERROR(CostofSales5710[[#This Row],[Oct]]/CostofSales5710[[#Totals],[Oct]],"-")</f>
        <v>0.26229508196721313</v>
      </c>
      <c r="AA20" s="35">
        <f>IFERROR(CostofSales5710[[#This Row],[Nov]]/CostofSales5710[[#Totals],[Nov]],"-")</f>
        <v>0.26229508196721313</v>
      </c>
      <c r="AB20" s="35">
        <f>IFERROR(CostofSales5710[[#This Row],[Dec]]/CostofSales5710[[#Totals],[Dec]],"-")</f>
        <v>0.26229508196721313</v>
      </c>
      <c r="AC20" s="35">
        <f>IFERROR(CostofSales5710[[#This Row],[Rent]]/CostofSales5710[[#Totals],[Rent]],"-")</f>
        <v>0.26229508196721313</v>
      </c>
    </row>
    <row r="21" spans="1:29" x14ac:dyDescent="0.3">
      <c r="A21" s="14" t="s">
        <v>36</v>
      </c>
      <c r="B21" s="21"/>
      <c r="C21" s="71">
        <v>1500</v>
      </c>
      <c r="D21" s="71">
        <v>1500</v>
      </c>
      <c r="E21" s="71">
        <v>1500</v>
      </c>
      <c r="F21" s="71">
        <v>1500</v>
      </c>
      <c r="G21" s="71">
        <v>1500</v>
      </c>
      <c r="H21" s="71">
        <v>1500</v>
      </c>
      <c r="I21" s="71">
        <v>1500</v>
      </c>
      <c r="J21" s="71">
        <v>1500</v>
      </c>
      <c r="K21" s="71">
        <v>1500</v>
      </c>
      <c r="L21" s="71">
        <v>1500</v>
      </c>
      <c r="M21" s="71">
        <v>1500</v>
      </c>
      <c r="N21" s="71">
        <v>1500</v>
      </c>
      <c r="O21" s="72">
        <f>SUM(CostofSales5710[[#This Row],[Jan]:[Dec]])</f>
        <v>18000</v>
      </c>
      <c r="P21" s="34">
        <v>0.18</v>
      </c>
      <c r="Q21" s="35">
        <f>IFERROR(CostofSales5710[[#This Row],[Jan]]/CostofSales5710[[#Totals],[Jan]],"-")</f>
        <v>0.12295081967213115</v>
      </c>
      <c r="R21" s="35">
        <f>IFERROR(CostofSales5710[[#This Row],[Feb]]/CostofSales5710[[#Totals],[Feb]],"-")</f>
        <v>0.12295081967213115</v>
      </c>
      <c r="S21" s="35">
        <f>IFERROR(CostofSales5710[[#This Row],[Mar]]/CostofSales5710[[#Totals],[Mar]],"-")</f>
        <v>0.12295081967213115</v>
      </c>
      <c r="T21" s="35">
        <f>IFERROR(CostofSales5710[[#This Row],[Apr]]/CostofSales5710[[#Totals],[Apr]],"-")</f>
        <v>0.12295081967213115</v>
      </c>
      <c r="U21" s="35">
        <f>IFERROR(CostofSales5710[[#This Row],[May]]/CostofSales5710[[#Totals],[May]],"-")</f>
        <v>0.12295081967213115</v>
      </c>
      <c r="V21" s="35">
        <f>IFERROR(CostofSales5710[[#This Row],[Jun]]/CostofSales5710[[#Totals],[Jun]],"-")</f>
        <v>0.12295081967213115</v>
      </c>
      <c r="W21" s="35">
        <f>IFERROR(CostofSales5710[[#This Row],[Jul]]/CostofSales5710[[#Totals],[Jul]],"-")</f>
        <v>0.12295081967213115</v>
      </c>
      <c r="X21" s="35">
        <f>IFERROR(CostofSales5710[[#This Row],[Aug]]/CostofSales5710[[#Totals],[Aug]],"-")</f>
        <v>0.12295081967213115</v>
      </c>
      <c r="Y21" s="35">
        <f>IFERROR(CostofSales5710[[#This Row],[Sep]]/CostofSales5710[[#Totals],[Sep]],"-")</f>
        <v>0.12295081967213115</v>
      </c>
      <c r="Z21" s="35">
        <f>IFERROR(CostofSales5710[[#This Row],[Oct]]/CostofSales5710[[#Totals],[Oct]],"-")</f>
        <v>0.12295081967213115</v>
      </c>
      <c r="AA21" s="35">
        <f>IFERROR(CostofSales5710[[#This Row],[Nov]]/CostofSales5710[[#Totals],[Nov]],"-")</f>
        <v>0.12295081967213115</v>
      </c>
      <c r="AB21" s="35">
        <f>IFERROR(CostofSales5710[[#This Row],[Dec]]/CostofSales5710[[#Totals],[Dec]],"-")</f>
        <v>0.12295081967213115</v>
      </c>
      <c r="AC21" s="35">
        <f>IFERROR(CostofSales5710[[#This Row],[Rent]]/CostofSales5710[[#Totals],[Rent]],"-")</f>
        <v>0.12295081967213115</v>
      </c>
    </row>
    <row r="22" spans="1:29" x14ac:dyDescent="0.3">
      <c r="A22" s="14" t="s">
        <v>37</v>
      </c>
      <c r="B22" s="21"/>
      <c r="C22" s="71">
        <v>1500</v>
      </c>
      <c r="D22" s="71">
        <v>1500</v>
      </c>
      <c r="E22" s="71">
        <v>1500</v>
      </c>
      <c r="F22" s="71">
        <v>1500</v>
      </c>
      <c r="G22" s="71">
        <v>1500</v>
      </c>
      <c r="H22" s="71">
        <v>1500</v>
      </c>
      <c r="I22" s="71">
        <v>1500</v>
      </c>
      <c r="J22" s="71">
        <v>1500</v>
      </c>
      <c r="K22" s="71">
        <v>1500</v>
      </c>
      <c r="L22" s="71">
        <v>1500</v>
      </c>
      <c r="M22" s="71">
        <v>1500</v>
      </c>
      <c r="N22" s="71">
        <v>1500</v>
      </c>
      <c r="O22" s="72">
        <f>SUM(CostofSales5710[[#This Row],[Jan]:[Dec]])</f>
        <v>18000</v>
      </c>
      <c r="P22" s="34">
        <v>0.19</v>
      </c>
      <c r="Q22" s="35">
        <f>IFERROR(CostofSales5710[[#This Row],[Jan]]/CostofSales5710[[#Totals],[Jan]],"-")</f>
        <v>0.12295081967213115</v>
      </c>
      <c r="R22" s="35">
        <f>IFERROR(CostofSales5710[[#This Row],[Feb]]/CostofSales5710[[#Totals],[Feb]],"-")</f>
        <v>0.12295081967213115</v>
      </c>
      <c r="S22" s="35">
        <f>IFERROR(CostofSales5710[[#This Row],[Mar]]/CostofSales5710[[#Totals],[Mar]],"-")</f>
        <v>0.12295081967213115</v>
      </c>
      <c r="T22" s="35">
        <f>IFERROR(CostofSales5710[[#This Row],[Apr]]/CostofSales5710[[#Totals],[Apr]],"-")</f>
        <v>0.12295081967213115</v>
      </c>
      <c r="U22" s="35">
        <f>IFERROR(CostofSales5710[[#This Row],[May]]/CostofSales5710[[#Totals],[May]],"-")</f>
        <v>0.12295081967213115</v>
      </c>
      <c r="V22" s="35">
        <f>IFERROR(CostofSales5710[[#This Row],[Jun]]/CostofSales5710[[#Totals],[Jun]],"-")</f>
        <v>0.12295081967213115</v>
      </c>
      <c r="W22" s="35">
        <f>IFERROR(CostofSales5710[[#This Row],[Jul]]/CostofSales5710[[#Totals],[Jul]],"-")</f>
        <v>0.12295081967213115</v>
      </c>
      <c r="X22" s="35">
        <f>IFERROR(CostofSales5710[[#This Row],[Aug]]/CostofSales5710[[#Totals],[Aug]],"-")</f>
        <v>0.12295081967213115</v>
      </c>
      <c r="Y22" s="35">
        <f>IFERROR(CostofSales5710[[#This Row],[Sep]]/CostofSales5710[[#Totals],[Sep]],"-")</f>
        <v>0.12295081967213115</v>
      </c>
      <c r="Z22" s="35">
        <f>IFERROR(CostofSales5710[[#This Row],[Oct]]/CostofSales5710[[#Totals],[Oct]],"-")</f>
        <v>0.12295081967213115</v>
      </c>
      <c r="AA22" s="35">
        <f>IFERROR(CostofSales5710[[#This Row],[Nov]]/CostofSales5710[[#Totals],[Nov]],"-")</f>
        <v>0.12295081967213115</v>
      </c>
      <c r="AB22" s="35">
        <f>IFERROR(CostofSales5710[[#This Row],[Dec]]/CostofSales5710[[#Totals],[Dec]],"-")</f>
        <v>0.12295081967213115</v>
      </c>
      <c r="AC22" s="35">
        <f>IFERROR(CostofSales5710[[#This Row],[Rent]]/CostofSales5710[[#Totals],[Rent]],"-")</f>
        <v>0.12295081967213115</v>
      </c>
    </row>
    <row r="23" spans="1:29" x14ac:dyDescent="0.3">
      <c r="A23" s="14" t="s">
        <v>38</v>
      </c>
      <c r="B23" s="21"/>
      <c r="C23" s="71">
        <v>1500</v>
      </c>
      <c r="D23" s="71">
        <v>1500</v>
      </c>
      <c r="E23" s="71">
        <v>1500</v>
      </c>
      <c r="F23" s="71">
        <v>1500</v>
      </c>
      <c r="G23" s="71">
        <v>1500</v>
      </c>
      <c r="H23" s="71">
        <v>1500</v>
      </c>
      <c r="I23" s="71">
        <v>1500</v>
      </c>
      <c r="J23" s="71">
        <v>1500</v>
      </c>
      <c r="K23" s="71">
        <v>1500</v>
      </c>
      <c r="L23" s="71">
        <v>1500</v>
      </c>
      <c r="M23" s="71">
        <v>1500</v>
      </c>
      <c r="N23" s="71">
        <v>1500</v>
      </c>
      <c r="O23" s="72">
        <f>SUM(CostofSales5710[[#This Row],[Jan]:[Dec]])</f>
        <v>18000</v>
      </c>
      <c r="P23" s="34">
        <v>0.11</v>
      </c>
      <c r="Q23" s="35">
        <f>IFERROR(CostofSales5710[[#This Row],[Jan]]/CostofSales5710[[#Totals],[Jan]],"-")</f>
        <v>0.12295081967213115</v>
      </c>
      <c r="R23" s="35">
        <f>IFERROR(CostofSales5710[[#This Row],[Feb]]/CostofSales5710[[#Totals],[Feb]],"-")</f>
        <v>0.12295081967213115</v>
      </c>
      <c r="S23" s="35">
        <f>IFERROR(CostofSales5710[[#This Row],[Mar]]/CostofSales5710[[#Totals],[Mar]],"-")</f>
        <v>0.12295081967213115</v>
      </c>
      <c r="T23" s="35">
        <f>IFERROR(CostofSales5710[[#This Row],[Apr]]/CostofSales5710[[#Totals],[Apr]],"-")</f>
        <v>0.12295081967213115</v>
      </c>
      <c r="U23" s="35">
        <f>IFERROR(CostofSales5710[[#This Row],[May]]/CostofSales5710[[#Totals],[May]],"-")</f>
        <v>0.12295081967213115</v>
      </c>
      <c r="V23" s="35">
        <f>IFERROR(CostofSales5710[[#This Row],[Jun]]/CostofSales5710[[#Totals],[Jun]],"-")</f>
        <v>0.12295081967213115</v>
      </c>
      <c r="W23" s="35">
        <f>IFERROR(CostofSales5710[[#This Row],[Jul]]/CostofSales5710[[#Totals],[Jul]],"-")</f>
        <v>0.12295081967213115</v>
      </c>
      <c r="X23" s="35">
        <f>IFERROR(CostofSales5710[[#This Row],[Aug]]/CostofSales5710[[#Totals],[Aug]],"-")</f>
        <v>0.12295081967213115</v>
      </c>
      <c r="Y23" s="35">
        <f>IFERROR(CostofSales5710[[#This Row],[Sep]]/CostofSales5710[[#Totals],[Sep]],"-")</f>
        <v>0.12295081967213115</v>
      </c>
      <c r="Z23" s="35">
        <f>IFERROR(CostofSales5710[[#This Row],[Oct]]/CostofSales5710[[#Totals],[Oct]],"-")</f>
        <v>0.12295081967213115</v>
      </c>
      <c r="AA23" s="35">
        <f>IFERROR(CostofSales5710[[#This Row],[Nov]]/CostofSales5710[[#Totals],[Nov]],"-")</f>
        <v>0.12295081967213115</v>
      </c>
      <c r="AB23" s="35">
        <f>IFERROR(CostofSales5710[[#This Row],[Dec]]/CostofSales5710[[#Totals],[Dec]],"-")</f>
        <v>0.12295081967213115</v>
      </c>
      <c r="AC23" s="35">
        <f>IFERROR(CostofSales5710[[#This Row],[Rent]]/CostofSales5710[[#Totals],[Rent]],"-")</f>
        <v>0.12295081967213115</v>
      </c>
    </row>
    <row r="24" spans="1:29" ht="15" customHeight="1" x14ac:dyDescent="0.3">
      <c r="A24" s="14" t="s">
        <v>39</v>
      </c>
      <c r="B24" s="21"/>
      <c r="C24" s="71">
        <v>1500</v>
      </c>
      <c r="D24" s="71">
        <v>1500</v>
      </c>
      <c r="E24" s="71">
        <v>1500</v>
      </c>
      <c r="F24" s="71">
        <v>1500</v>
      </c>
      <c r="G24" s="71">
        <v>1500</v>
      </c>
      <c r="H24" s="71">
        <v>1500</v>
      </c>
      <c r="I24" s="71">
        <v>1500</v>
      </c>
      <c r="J24" s="71">
        <v>1500</v>
      </c>
      <c r="K24" s="71">
        <v>1500</v>
      </c>
      <c r="L24" s="71">
        <v>1500</v>
      </c>
      <c r="M24" s="71">
        <v>1500</v>
      </c>
      <c r="N24" s="71">
        <v>1500</v>
      </c>
      <c r="O24" s="72">
        <f>SUM(CostofSales5710[[#This Row],[Jan]:[Dec]])</f>
        <v>18000</v>
      </c>
      <c r="P24" s="34">
        <v>0.2</v>
      </c>
      <c r="Q24" s="35">
        <f>IFERROR(CostofSales5710[[#This Row],[Jan]]/CostofSales5710[[#Totals],[Jan]],"-")</f>
        <v>0.12295081967213115</v>
      </c>
      <c r="R24" s="35">
        <f>IFERROR(CostofSales5710[[#This Row],[Feb]]/CostofSales5710[[#Totals],[Feb]],"-")</f>
        <v>0.12295081967213115</v>
      </c>
      <c r="S24" s="35">
        <f>IFERROR(CostofSales5710[[#This Row],[Mar]]/CostofSales5710[[#Totals],[Mar]],"-")</f>
        <v>0.12295081967213115</v>
      </c>
      <c r="T24" s="35">
        <f>IFERROR(CostofSales5710[[#This Row],[Apr]]/CostofSales5710[[#Totals],[Apr]],"-")</f>
        <v>0.12295081967213115</v>
      </c>
      <c r="U24" s="35">
        <f>IFERROR(CostofSales5710[[#This Row],[May]]/CostofSales5710[[#Totals],[May]],"-")</f>
        <v>0.12295081967213115</v>
      </c>
      <c r="V24" s="35">
        <f>IFERROR(CostofSales5710[[#This Row],[Jun]]/CostofSales5710[[#Totals],[Jun]],"-")</f>
        <v>0.12295081967213115</v>
      </c>
      <c r="W24" s="35">
        <f>IFERROR(CostofSales5710[[#This Row],[Jul]]/CostofSales5710[[#Totals],[Jul]],"-")</f>
        <v>0.12295081967213115</v>
      </c>
      <c r="X24" s="35">
        <f>IFERROR(CostofSales5710[[#This Row],[Aug]]/CostofSales5710[[#Totals],[Aug]],"-")</f>
        <v>0.12295081967213115</v>
      </c>
      <c r="Y24" s="35">
        <f>IFERROR(CostofSales5710[[#This Row],[Sep]]/CostofSales5710[[#Totals],[Sep]],"-")</f>
        <v>0.12295081967213115</v>
      </c>
      <c r="Z24" s="35">
        <f>IFERROR(CostofSales5710[[#This Row],[Oct]]/CostofSales5710[[#Totals],[Oct]],"-")</f>
        <v>0.12295081967213115</v>
      </c>
      <c r="AA24" s="35">
        <f>IFERROR(CostofSales5710[[#This Row],[Nov]]/CostofSales5710[[#Totals],[Nov]],"-")</f>
        <v>0.12295081967213115</v>
      </c>
      <c r="AB24" s="35">
        <f>IFERROR(CostofSales5710[[#This Row],[Dec]]/CostofSales5710[[#Totals],[Dec]],"-")</f>
        <v>0.12295081967213115</v>
      </c>
      <c r="AC24" s="35">
        <f>IFERROR(CostofSales5710[[#This Row],[Rent]]/CostofSales5710[[#Totals],[Rent]],"-")</f>
        <v>0.12295081967213115</v>
      </c>
    </row>
    <row r="25" spans="1:29" x14ac:dyDescent="0.3">
      <c r="A25" s="14" t="s">
        <v>40</v>
      </c>
      <c r="B25" s="21"/>
      <c r="C25" s="71">
        <v>1500</v>
      </c>
      <c r="D25" s="71">
        <v>1500</v>
      </c>
      <c r="E25" s="71">
        <v>1500</v>
      </c>
      <c r="F25" s="71">
        <v>1500</v>
      </c>
      <c r="G25" s="71">
        <v>1500</v>
      </c>
      <c r="H25" s="71">
        <v>1500</v>
      </c>
      <c r="I25" s="71">
        <v>1500</v>
      </c>
      <c r="J25" s="71">
        <v>1500</v>
      </c>
      <c r="K25" s="71">
        <v>1500</v>
      </c>
      <c r="L25" s="71">
        <v>1500</v>
      </c>
      <c r="M25" s="71">
        <v>1500</v>
      </c>
      <c r="N25" s="71">
        <v>1500</v>
      </c>
      <c r="O25" s="72">
        <f>SUM(CostofSales5710[[#This Row],[Jan]:[Dec]])</f>
        <v>18000</v>
      </c>
      <c r="P25" s="34">
        <v>0.1</v>
      </c>
      <c r="Q25" s="35">
        <f>IFERROR(CostofSales5710[[#This Row],[Jan]]/CostofSales5710[[#Totals],[Jan]],"-")</f>
        <v>0.12295081967213115</v>
      </c>
      <c r="R25" s="35">
        <f>IFERROR(CostofSales5710[[#This Row],[Feb]]/CostofSales5710[[#Totals],[Feb]],"-")</f>
        <v>0.12295081967213115</v>
      </c>
      <c r="S25" s="35">
        <f>IFERROR(CostofSales5710[[#This Row],[Mar]]/CostofSales5710[[#Totals],[Mar]],"-")</f>
        <v>0.12295081967213115</v>
      </c>
      <c r="T25" s="35">
        <f>IFERROR(CostofSales5710[[#This Row],[Apr]]/CostofSales5710[[#Totals],[Apr]],"-")</f>
        <v>0.12295081967213115</v>
      </c>
      <c r="U25" s="35">
        <f>IFERROR(CostofSales5710[[#This Row],[May]]/CostofSales5710[[#Totals],[May]],"-")</f>
        <v>0.12295081967213115</v>
      </c>
      <c r="V25" s="35">
        <f>IFERROR(CostofSales5710[[#This Row],[Jun]]/CostofSales5710[[#Totals],[Jun]],"-")</f>
        <v>0.12295081967213115</v>
      </c>
      <c r="W25" s="35">
        <f>IFERROR(CostofSales5710[[#This Row],[Jul]]/CostofSales5710[[#Totals],[Jul]],"-")</f>
        <v>0.12295081967213115</v>
      </c>
      <c r="X25" s="35">
        <f>IFERROR(CostofSales5710[[#This Row],[Aug]]/CostofSales5710[[#Totals],[Aug]],"-")</f>
        <v>0.12295081967213115</v>
      </c>
      <c r="Y25" s="35">
        <f>IFERROR(CostofSales5710[[#This Row],[Sep]]/CostofSales5710[[#Totals],[Sep]],"-")</f>
        <v>0.12295081967213115</v>
      </c>
      <c r="Z25" s="35">
        <f>IFERROR(CostofSales5710[[#This Row],[Oct]]/CostofSales5710[[#Totals],[Oct]],"-")</f>
        <v>0.12295081967213115</v>
      </c>
      <c r="AA25" s="35">
        <f>IFERROR(CostofSales5710[[#This Row],[Nov]]/CostofSales5710[[#Totals],[Nov]],"-")</f>
        <v>0.12295081967213115</v>
      </c>
      <c r="AB25" s="35">
        <f>IFERROR(CostofSales5710[[#This Row],[Dec]]/CostofSales5710[[#Totals],[Dec]],"-")</f>
        <v>0.12295081967213115</v>
      </c>
      <c r="AC25" s="35">
        <f>IFERROR(CostofSales5710[[#This Row],[Rent]]/CostofSales5710[[#Totals],[Rent]],"-")</f>
        <v>0.12295081967213115</v>
      </c>
    </row>
    <row r="26" spans="1:29" x14ac:dyDescent="0.3">
      <c r="A26" s="14" t="s">
        <v>41</v>
      </c>
      <c r="B26" s="21"/>
      <c r="C26" s="71">
        <v>1500</v>
      </c>
      <c r="D26" s="71">
        <v>1500</v>
      </c>
      <c r="E26" s="71">
        <v>1500</v>
      </c>
      <c r="F26" s="71">
        <v>1500</v>
      </c>
      <c r="G26" s="71">
        <v>1500</v>
      </c>
      <c r="H26" s="71">
        <v>1500</v>
      </c>
      <c r="I26" s="71">
        <v>1500</v>
      </c>
      <c r="J26" s="71">
        <v>1500</v>
      </c>
      <c r="K26" s="71">
        <v>1500</v>
      </c>
      <c r="L26" s="71">
        <v>1500</v>
      </c>
      <c r="M26" s="71">
        <v>1500</v>
      </c>
      <c r="N26" s="71">
        <v>1500</v>
      </c>
      <c r="O26" s="72">
        <f>SUM(CostofSales5710[[#This Row],[Jan]:[Dec]])</f>
        <v>18000</v>
      </c>
      <c r="P26" s="34">
        <v>0.1</v>
      </c>
      <c r="Q26" s="35">
        <f>IFERROR(CostofSales5710[[#This Row],[Jan]]/CostofSales5710[[#Totals],[Jan]],"-")</f>
        <v>0.12295081967213115</v>
      </c>
      <c r="R26" s="35">
        <f>IFERROR(CostofSales5710[[#This Row],[Feb]]/CostofSales5710[[#Totals],[Feb]],"-")</f>
        <v>0.12295081967213115</v>
      </c>
      <c r="S26" s="35">
        <f>IFERROR(CostofSales5710[[#This Row],[Mar]]/CostofSales5710[[#Totals],[Mar]],"-")</f>
        <v>0.12295081967213115</v>
      </c>
      <c r="T26" s="35">
        <f>IFERROR(CostofSales5710[[#This Row],[Apr]]/CostofSales5710[[#Totals],[Apr]],"-")</f>
        <v>0.12295081967213115</v>
      </c>
      <c r="U26" s="35">
        <f>IFERROR(CostofSales5710[[#This Row],[May]]/CostofSales5710[[#Totals],[May]],"-")</f>
        <v>0.12295081967213115</v>
      </c>
      <c r="V26" s="35">
        <f>IFERROR(CostofSales5710[[#This Row],[Jun]]/CostofSales5710[[#Totals],[Jun]],"-")</f>
        <v>0.12295081967213115</v>
      </c>
      <c r="W26" s="35">
        <f>IFERROR(CostofSales5710[[#This Row],[Jul]]/CostofSales5710[[#Totals],[Jul]],"-")</f>
        <v>0.12295081967213115</v>
      </c>
      <c r="X26" s="35">
        <f>IFERROR(CostofSales5710[[#This Row],[Aug]]/CostofSales5710[[#Totals],[Aug]],"-")</f>
        <v>0.12295081967213115</v>
      </c>
      <c r="Y26" s="35">
        <f>IFERROR(CostofSales5710[[#This Row],[Sep]]/CostofSales5710[[#Totals],[Sep]],"-")</f>
        <v>0.12295081967213115</v>
      </c>
      <c r="Z26" s="35">
        <f>IFERROR(CostofSales5710[[#This Row],[Oct]]/CostofSales5710[[#Totals],[Oct]],"-")</f>
        <v>0.12295081967213115</v>
      </c>
      <c r="AA26" s="35">
        <f>IFERROR(CostofSales5710[[#This Row],[Nov]]/CostofSales5710[[#Totals],[Nov]],"-")</f>
        <v>0.12295081967213115</v>
      </c>
      <c r="AB26" s="35">
        <f>IFERROR(CostofSales5710[[#This Row],[Dec]]/CostofSales5710[[#Totals],[Dec]],"-")</f>
        <v>0.12295081967213115</v>
      </c>
      <c r="AC26" s="35">
        <f>IFERROR(CostofSales5710[[#This Row],[Rent]]/CostofSales5710[[#Totals],[Rent]],"-")</f>
        <v>0.12295081967213115</v>
      </c>
    </row>
    <row r="27" spans="1:29" ht="14.4" customHeight="1" x14ac:dyDescent="0.3">
      <c r="A27" s="37" t="s">
        <v>81</v>
      </c>
      <c r="B27" s="21"/>
      <c r="C27" s="73">
        <f>C26+C25+C24+C23+C22+C21+C20</f>
        <v>12200</v>
      </c>
      <c r="D27" s="73">
        <f t="shared" ref="D27:I27" si="10">D26+D25+D24+D23+D22+D21+D20</f>
        <v>12200</v>
      </c>
      <c r="E27" s="73">
        <f t="shared" si="10"/>
        <v>12200</v>
      </c>
      <c r="F27" s="73">
        <f t="shared" si="10"/>
        <v>12200</v>
      </c>
      <c r="G27" s="73">
        <f t="shared" si="10"/>
        <v>12200</v>
      </c>
      <c r="H27" s="73">
        <f t="shared" si="10"/>
        <v>12200</v>
      </c>
      <c r="I27" s="73">
        <f t="shared" si="10"/>
        <v>12200</v>
      </c>
      <c r="J27" s="73">
        <f>J26+J25+J24+J23+J22+J21+J20</f>
        <v>12200</v>
      </c>
      <c r="K27" s="73">
        <f t="shared" ref="K27" si="11">K26+K25+K24+K23+K22+K21+K20</f>
        <v>12200</v>
      </c>
      <c r="L27" s="73">
        <f t="shared" ref="L27" si="12">L26+L25+L24+L23+L22+L21+L20</f>
        <v>12200</v>
      </c>
      <c r="M27" s="73">
        <f t="shared" ref="M27" si="13">M26+M25+M24+M23+M22+M21+M20</f>
        <v>12200</v>
      </c>
      <c r="N27" s="73">
        <f t="shared" ref="N27" si="14">N26+N25+N24+N23+N22+N21+N20</f>
        <v>12200</v>
      </c>
      <c r="O27" s="70">
        <f>SUBTOTAL(109,CostofSales5710[Rent])</f>
        <v>146400</v>
      </c>
      <c r="P27" s="39">
        <f>SUBTOTAL(109,CostofSales5710[Index %])</f>
        <v>1</v>
      </c>
      <c r="Q27" s="40">
        <f>SUBTOTAL(109,CostofSales5710[Jan %])</f>
        <v>1</v>
      </c>
      <c r="R27" s="40">
        <f>SUBTOTAL(109,CostofSales5710[Feb %])</f>
        <v>1</v>
      </c>
      <c r="S27" s="40">
        <f>SUBTOTAL(109,CostofSales5710[Mar %])</f>
        <v>1</v>
      </c>
      <c r="T27" s="40">
        <f>SUBTOTAL(109,CostofSales5710[Apr %])</f>
        <v>1</v>
      </c>
      <c r="U27" s="40">
        <f>SUBTOTAL(109,CostofSales5710[May %])</f>
        <v>1</v>
      </c>
      <c r="V27" s="40">
        <f>SUBTOTAL(109,CostofSales5710[Jun %])</f>
        <v>1</v>
      </c>
      <c r="W27" s="40">
        <f>SUBTOTAL(109,CostofSales5710[Jul %])</f>
        <v>1</v>
      </c>
      <c r="X27" s="40">
        <f>SUBTOTAL(109,CostofSales5710[Aug %])</f>
        <v>1</v>
      </c>
      <c r="Y27" s="40">
        <f>SUBTOTAL(109,CostofSales5710[Sep %])</f>
        <v>1</v>
      </c>
      <c r="Z27" s="40">
        <f>SUBTOTAL(109,CostofSales5710[Oct %])</f>
        <v>1</v>
      </c>
      <c r="AA27" s="40">
        <f>SUBTOTAL(109,CostofSales5710[Nov %])</f>
        <v>1</v>
      </c>
      <c r="AB27" s="40">
        <f>SUBTOTAL(109,CostofSales5710[Dec %])</f>
        <v>1</v>
      </c>
      <c r="AC27" s="40">
        <f>SUBTOTAL(109,CostofSales5710[Year %])</f>
        <v>1</v>
      </c>
    </row>
    <row r="28" spans="1:29" ht="22.2" customHeight="1" thickBot="1" x14ac:dyDescent="0.35">
      <c r="A28" s="41" t="s">
        <v>47</v>
      </c>
      <c r="B28" s="41"/>
      <c r="C28" s="74">
        <f>Revenue9[[#Totals],[Jan]]-CostofSales5710[[#Totals],[Jan]]</f>
        <v>22018.800000000003</v>
      </c>
      <c r="D28" s="74">
        <f>Revenue9[[#Totals],[Feb]]-CostofSales5710[[#Totals],[Feb]]</f>
        <v>19731.900000000001</v>
      </c>
      <c r="E28" s="74">
        <f>Revenue9[[#Totals],[Mar]]-CostofSales5710[[#Totals],[Mar]]</f>
        <v>22018.800000000003</v>
      </c>
      <c r="F28" s="74">
        <f>Revenue9[[#Totals],[Apr]]-CostofSales5710[[#Totals],[Apr]]</f>
        <v>21256.5</v>
      </c>
      <c r="G28" s="74">
        <f>Revenue9[[#Totals],[May]]-CostofSales5710[[#Totals],[May]]</f>
        <v>22018.800000000003</v>
      </c>
      <c r="H28" s="74">
        <f>Revenue9[[#Totals],[Jun]]-CostofSales5710[[#Totals],[Jun]]</f>
        <v>21256.5</v>
      </c>
      <c r="I28" s="74">
        <f>Revenue9[[#Totals],[Jul]]-CostofSales5710[[#Totals],[Jul]]</f>
        <v>22018.800000000003</v>
      </c>
      <c r="J28" s="74">
        <f>Revenue9[[#Totals],[Aug]]-CostofSales5710[[#Totals],[Aug]]</f>
        <v>22018.800000000003</v>
      </c>
      <c r="K28" s="74">
        <f>Revenue9[[#Totals],[Sep]]-CostofSales5710[[#Totals],[Sep]]</f>
        <v>21256.5</v>
      </c>
      <c r="L28" s="74">
        <f>Revenue9[[#Totals],[Oct]]-CostofSales5710[[#Totals],[Oct]]</f>
        <v>22018.800000000003</v>
      </c>
      <c r="M28" s="74">
        <f>Revenue9[[#Totals],[Nov]]-CostofSales5710[[#Totals],[Nov]]</f>
        <v>21256.5</v>
      </c>
      <c r="N28" s="74">
        <f>Revenue9[[#Totals],[Dec]]-CostofSales5710[[#Totals],[Dec]]</f>
        <v>22018.800000000003</v>
      </c>
      <c r="O28" s="74">
        <f>Revenue9[[#Totals],[Yearly Gross]]-CostofSales5710[[#Totals],[Rent]]</f>
        <v>258889.5</v>
      </c>
      <c r="P28" s="41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33.6" customHeight="1" thickTop="1" x14ac:dyDescent="0.3">
      <c r="A29" s="114" t="s">
        <v>48</v>
      </c>
      <c r="B29" s="115"/>
      <c r="C29" s="116"/>
      <c r="D29" s="117"/>
      <c r="E29" s="116"/>
      <c r="F29" s="117"/>
      <c r="G29" s="116"/>
      <c r="H29" s="116"/>
      <c r="I29" s="116"/>
      <c r="J29" s="117"/>
      <c r="K29" s="117"/>
      <c r="L29" s="117"/>
      <c r="M29" s="117"/>
      <c r="N29" s="117"/>
      <c r="O29" s="11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3">
      <c r="A30" s="113"/>
      <c r="B30" s="113"/>
      <c r="C30" s="65" t="s">
        <v>3</v>
      </c>
      <c r="D30" s="65" t="s">
        <v>4</v>
      </c>
      <c r="E30" s="65" t="s">
        <v>5</v>
      </c>
      <c r="F30" s="65" t="s">
        <v>6</v>
      </c>
      <c r="G30" s="65" t="s">
        <v>7</v>
      </c>
      <c r="H30" s="65" t="s">
        <v>8</v>
      </c>
      <c r="I30" s="65" t="s">
        <v>9</v>
      </c>
      <c r="J30" s="65" t="s">
        <v>10</v>
      </c>
      <c r="K30" s="65" t="s">
        <v>11</v>
      </c>
      <c r="L30" s="65" t="s">
        <v>12</v>
      </c>
      <c r="M30" s="65" t="s">
        <v>13</v>
      </c>
      <c r="N30" s="65" t="s">
        <v>14</v>
      </c>
      <c r="O30" s="65" t="s">
        <v>20</v>
      </c>
      <c r="P30" s="29" t="s">
        <v>16</v>
      </c>
      <c r="Q30" s="29" t="str">
        <f>LEFT(C30,3)&amp;" %"</f>
        <v>Jan %</v>
      </c>
      <c r="R30" s="29" t="str">
        <f t="shared" ref="R30:AB30" si="15">LEFT(D30,3)&amp;" %"</f>
        <v>Feb %</v>
      </c>
      <c r="S30" s="29" t="str">
        <f t="shared" si="15"/>
        <v>Mar %</v>
      </c>
      <c r="T30" s="29" t="str">
        <f t="shared" si="15"/>
        <v>Apr %</v>
      </c>
      <c r="U30" s="29" t="str">
        <f t="shared" si="15"/>
        <v>May %</v>
      </c>
      <c r="V30" s="29" t="str">
        <f t="shared" si="15"/>
        <v>Jun %</v>
      </c>
      <c r="W30" s="29" t="str">
        <f t="shared" si="15"/>
        <v>Jul %</v>
      </c>
      <c r="X30" s="29" t="str">
        <f t="shared" si="15"/>
        <v>Aug %</v>
      </c>
      <c r="Y30" s="29" t="str">
        <f t="shared" si="15"/>
        <v>Sep %</v>
      </c>
      <c r="Z30" s="29" t="str">
        <f t="shared" si="15"/>
        <v>Oct %</v>
      </c>
      <c r="AA30" s="29" t="str">
        <f t="shared" si="15"/>
        <v>Nov %</v>
      </c>
      <c r="AB30" s="29" t="str">
        <f t="shared" si="15"/>
        <v>Dec %</v>
      </c>
      <c r="AC30" s="29" t="s">
        <v>17</v>
      </c>
    </row>
    <row r="31" spans="1:29" ht="15.6" x14ac:dyDescent="0.3">
      <c r="A31" s="11" t="s">
        <v>48</v>
      </c>
      <c r="B31" s="11" t="s">
        <v>19</v>
      </c>
      <c r="C31" s="66" t="s">
        <v>3</v>
      </c>
      <c r="D31" s="66" t="s">
        <v>4</v>
      </c>
      <c r="E31" s="66" t="s">
        <v>5</v>
      </c>
      <c r="F31" s="66" t="s">
        <v>6</v>
      </c>
      <c r="G31" s="66" t="s">
        <v>7</v>
      </c>
      <c r="H31" s="66" t="s">
        <v>8</v>
      </c>
      <c r="I31" s="66" t="s">
        <v>9</v>
      </c>
      <c r="J31" s="66" t="s">
        <v>10</v>
      </c>
      <c r="K31" s="66" t="s">
        <v>11</v>
      </c>
      <c r="L31" s="66" t="s">
        <v>12</v>
      </c>
      <c r="M31" s="66" t="s">
        <v>13</v>
      </c>
      <c r="N31" s="66" t="s">
        <v>14</v>
      </c>
      <c r="O31" s="66" t="s">
        <v>20</v>
      </c>
      <c r="P31" s="30" t="s">
        <v>21</v>
      </c>
      <c r="Q31" s="30" t="s">
        <v>22</v>
      </c>
      <c r="R31" s="30" t="s">
        <v>23</v>
      </c>
      <c r="S31" s="30" t="s">
        <v>24</v>
      </c>
      <c r="T31" s="30" t="s">
        <v>25</v>
      </c>
      <c r="U31" s="30" t="s">
        <v>26</v>
      </c>
      <c r="V31" s="30" t="s">
        <v>27</v>
      </c>
      <c r="W31" s="30" t="s">
        <v>28</v>
      </c>
      <c r="X31" s="30" t="s">
        <v>29</v>
      </c>
      <c r="Y31" s="30" t="s">
        <v>30</v>
      </c>
      <c r="Z31" s="30" t="s">
        <v>31</v>
      </c>
      <c r="AA31" s="30" t="s">
        <v>32</v>
      </c>
      <c r="AB31" s="30" t="s">
        <v>33</v>
      </c>
      <c r="AC31" s="12" t="s">
        <v>34</v>
      </c>
    </row>
    <row r="32" spans="1:29" ht="15.6" x14ac:dyDescent="0.3">
      <c r="A32" s="36" t="s">
        <v>35</v>
      </c>
      <c r="B32" s="93"/>
      <c r="C32" s="54">
        <v>2018.8</v>
      </c>
      <c r="D32" s="54">
        <v>2131.9</v>
      </c>
      <c r="E32" s="54">
        <v>2018.8</v>
      </c>
      <c r="F32" s="54">
        <v>1856.5</v>
      </c>
      <c r="G32" s="54">
        <v>2018.8</v>
      </c>
      <c r="H32" s="54">
        <v>1856.5</v>
      </c>
      <c r="I32" s="54">
        <v>2018.8</v>
      </c>
      <c r="J32" s="54">
        <v>2018.8</v>
      </c>
      <c r="K32" s="54">
        <v>1856.5</v>
      </c>
      <c r="L32" s="54">
        <v>2018.8</v>
      </c>
      <c r="M32" s="54">
        <v>1856.5</v>
      </c>
      <c r="N32" s="54">
        <v>2018.8</v>
      </c>
      <c r="O32" s="75">
        <f>SUM(tblExpenses6811[[#This Row],[Jan]:[Dec]])</f>
        <v>23689.499999999996</v>
      </c>
      <c r="P32" s="30"/>
      <c r="Q32" s="34">
        <f>tblExpenses6811[[#This Row],[Jan]]/tblExpenses6811[[#Totals],[Jan]]</f>
        <v>0.1186217594660023</v>
      </c>
      <c r="R32" s="34">
        <f>tblExpenses6811[[#This Row],[Feb]]/tblExpenses6811[[#Totals],[Feb]]</f>
        <v>0.14471317345352602</v>
      </c>
      <c r="S32" s="34">
        <f>tblExpenses6811[[#This Row],[Mar]]/tblExpenses6811[[#Totals],[Mar]]</f>
        <v>0.1186217594660023</v>
      </c>
      <c r="T32" s="34">
        <f>tblExpenses6811[[#This Row],[Apr]]/tblExpenses6811[[#Totals],[Apr]]</f>
        <v>0.11420047365669117</v>
      </c>
      <c r="U32" s="34">
        <f>tblExpenses6811[[#This Row],[May]]/tblExpenses6811[[#Totals],[May]]</f>
        <v>0.1186217594660023</v>
      </c>
      <c r="V32" s="34">
        <f>tblExpenses6811[[#This Row],[Jun]]/tblExpenses6811[[#Totals],[Jun]]</f>
        <v>0.11420047365669117</v>
      </c>
      <c r="W32" s="34">
        <f>tblExpenses6811[[#This Row],[Jul]]/tblExpenses6811[[#Totals],[Jul]]</f>
        <v>0.1186217594660023</v>
      </c>
      <c r="X32" s="34">
        <f>tblExpenses6811[[#This Row],[Aug]]/tblExpenses6811[[#Totals],[Aug]]</f>
        <v>0.1186217594660023</v>
      </c>
      <c r="Y32" s="34">
        <f>tblExpenses6811[[#This Row],[Sep]]/tblExpenses6811[[#Totals],[Sep]]</f>
        <v>0.11420047365669117</v>
      </c>
      <c r="Z32" s="34">
        <f>tblExpenses6811[[#This Row],[Oct]]/tblExpenses6811[[#Totals],[Oct]]</f>
        <v>0.1186217594660023</v>
      </c>
      <c r="AA32" s="34">
        <f>tblExpenses6811[[#This Row],[Nov]]/tblExpenses6811[[#Totals],[Nov]]</f>
        <v>0.11420047365669117</v>
      </c>
      <c r="AB32" s="34">
        <f>tblExpenses6811[[#This Row],[Dec]]/tblExpenses6811[[#Totals],[Dec]]</f>
        <v>0.1186217594660023</v>
      </c>
      <c r="AC32" s="94">
        <f>tblExpenses6811[[#This Row],[Yearly]]/tblExpenses6811[[#Totals],[Yearly]]</f>
        <v>0.11910885190017571</v>
      </c>
    </row>
    <row r="33" spans="1:29" x14ac:dyDescent="0.3">
      <c r="A33" s="14" t="s">
        <v>36</v>
      </c>
      <c r="B33" s="44" t="s">
        <v>49</v>
      </c>
      <c r="C33" s="71">
        <v>2500</v>
      </c>
      <c r="D33" s="71">
        <v>2100</v>
      </c>
      <c r="E33" s="71">
        <v>2500</v>
      </c>
      <c r="F33" s="71">
        <v>2400</v>
      </c>
      <c r="G33" s="71">
        <v>2500</v>
      </c>
      <c r="H33" s="71">
        <v>2400</v>
      </c>
      <c r="I33" s="71">
        <v>2500</v>
      </c>
      <c r="J33" s="71">
        <v>2500</v>
      </c>
      <c r="K33" s="71">
        <v>2400</v>
      </c>
      <c r="L33" s="71">
        <v>2500</v>
      </c>
      <c r="M33" s="71">
        <v>2400</v>
      </c>
      <c r="N33" s="71">
        <v>2500</v>
      </c>
      <c r="O33" s="75">
        <f>SUM(tblExpenses6811[[#This Row],[Jan]:[Dec]])</f>
        <v>29200</v>
      </c>
      <c r="P33" s="34">
        <v>0.02</v>
      </c>
      <c r="Q33" s="45">
        <f>tblExpenses6811[[#This Row],[Jan]]/tblExpenses6811[[#Totals],[Jan]]</f>
        <v>0.14689637342233294</v>
      </c>
      <c r="R33" s="45">
        <f>tblExpenses6811[[#This Row],[Feb]]/tblExpenses6811[[#Totals],[Feb]]</f>
        <v>0.14254780442441234</v>
      </c>
      <c r="S33" s="45">
        <f>tblExpenses6811[[#This Row],[Mar]]/tblExpenses6811[[#Totals],[Mar]]</f>
        <v>0.14689637342233294</v>
      </c>
      <c r="T33" s="45">
        <f>tblExpenses6811[[#This Row],[Apr]]/tblExpenses6811[[#Totals],[Apr]]</f>
        <v>0.14763325439055147</v>
      </c>
      <c r="U33" s="45">
        <f>tblExpenses6811[[#This Row],[May]]/tblExpenses6811[[#Totals],[May]]</f>
        <v>0.14689637342233294</v>
      </c>
      <c r="V33" s="45">
        <f>tblExpenses6811[[#This Row],[Jun]]/tblExpenses6811[[#Totals],[Jun]]</f>
        <v>0.14763325439055147</v>
      </c>
      <c r="W33" s="45">
        <f>tblExpenses6811[[#This Row],[Jul]]/tblExpenses6811[[#Totals],[Jul]]</f>
        <v>0.14689637342233294</v>
      </c>
      <c r="X33" s="45">
        <f>tblExpenses6811[[#This Row],[Aug]]/tblExpenses6811[[#Totals],[Aug]]</f>
        <v>0.14689637342233294</v>
      </c>
      <c r="Y33" s="45">
        <f>tblExpenses6811[[#This Row],[Sep]]/tblExpenses6811[[#Totals],[Sep]]</f>
        <v>0.14763325439055147</v>
      </c>
      <c r="Z33" s="45">
        <f>tblExpenses6811[[#This Row],[Oct]]/tblExpenses6811[[#Totals],[Oct]]</f>
        <v>0.14689637342233294</v>
      </c>
      <c r="AA33" s="45">
        <f>tblExpenses6811[[#This Row],[Nov]]/tblExpenses6811[[#Totals],[Nov]]</f>
        <v>0.14763325439055147</v>
      </c>
      <c r="AB33" s="45">
        <f>tblExpenses6811[[#This Row],[Dec]]/tblExpenses6811[[#Totals],[Dec]]</f>
        <v>0.14689637342233294</v>
      </c>
      <c r="AC33" s="45">
        <f>tblExpenses6811[[#This Row],[Yearly]]/tblExpenses6811[[#Totals],[Yearly]]</f>
        <v>0.1468151913499707</v>
      </c>
    </row>
    <row r="34" spans="1:29" x14ac:dyDescent="0.3">
      <c r="A34" s="14" t="s">
        <v>37</v>
      </c>
      <c r="B34" s="44" t="s">
        <v>49</v>
      </c>
      <c r="C34" s="71">
        <v>2500</v>
      </c>
      <c r="D34" s="71">
        <v>2100</v>
      </c>
      <c r="E34" s="71">
        <v>2500</v>
      </c>
      <c r="F34" s="71">
        <v>2400</v>
      </c>
      <c r="G34" s="71">
        <v>2500</v>
      </c>
      <c r="H34" s="71">
        <v>2400</v>
      </c>
      <c r="I34" s="71">
        <v>2500</v>
      </c>
      <c r="J34" s="71">
        <v>2500</v>
      </c>
      <c r="K34" s="71">
        <v>2400</v>
      </c>
      <c r="L34" s="71">
        <v>2500</v>
      </c>
      <c r="M34" s="71">
        <v>2400</v>
      </c>
      <c r="N34" s="71">
        <v>2500</v>
      </c>
      <c r="O34" s="75">
        <f>SUM(tblExpenses6811[[#This Row],[Jan]:[Dec]])</f>
        <v>29200</v>
      </c>
      <c r="P34" s="34">
        <v>0.03</v>
      </c>
      <c r="Q34" s="45">
        <f>tblExpenses6811[[#This Row],[Jan]]/tblExpenses6811[[#Totals],[Jan]]</f>
        <v>0.14689637342233294</v>
      </c>
      <c r="R34" s="45">
        <f>tblExpenses6811[[#This Row],[Feb]]/tblExpenses6811[[#Totals],[Feb]]</f>
        <v>0.14254780442441234</v>
      </c>
      <c r="S34" s="45">
        <f>tblExpenses6811[[#This Row],[Mar]]/tblExpenses6811[[#Totals],[Mar]]</f>
        <v>0.14689637342233294</v>
      </c>
      <c r="T34" s="45">
        <f>tblExpenses6811[[#This Row],[Apr]]/tblExpenses6811[[#Totals],[Apr]]</f>
        <v>0.14763325439055147</v>
      </c>
      <c r="U34" s="45">
        <f>tblExpenses6811[[#This Row],[May]]/tblExpenses6811[[#Totals],[May]]</f>
        <v>0.14689637342233294</v>
      </c>
      <c r="V34" s="45">
        <f>tblExpenses6811[[#This Row],[Jun]]/tblExpenses6811[[#Totals],[Jun]]</f>
        <v>0.14763325439055147</v>
      </c>
      <c r="W34" s="45">
        <f>tblExpenses6811[[#This Row],[Jul]]/tblExpenses6811[[#Totals],[Jul]]</f>
        <v>0.14689637342233294</v>
      </c>
      <c r="X34" s="45">
        <f>tblExpenses6811[[#This Row],[Aug]]/tblExpenses6811[[#Totals],[Aug]]</f>
        <v>0.14689637342233294</v>
      </c>
      <c r="Y34" s="45">
        <f>tblExpenses6811[[#This Row],[Sep]]/tblExpenses6811[[#Totals],[Sep]]</f>
        <v>0.14763325439055147</v>
      </c>
      <c r="Z34" s="45">
        <f>tblExpenses6811[[#This Row],[Oct]]/tblExpenses6811[[#Totals],[Oct]]</f>
        <v>0.14689637342233294</v>
      </c>
      <c r="AA34" s="45">
        <f>tblExpenses6811[[#This Row],[Nov]]/tblExpenses6811[[#Totals],[Nov]]</f>
        <v>0.14763325439055147</v>
      </c>
      <c r="AB34" s="45">
        <f>tblExpenses6811[[#This Row],[Dec]]/tblExpenses6811[[#Totals],[Dec]]</f>
        <v>0.14689637342233294</v>
      </c>
      <c r="AC34" s="45">
        <f>tblExpenses6811[[#This Row],[Yearly]]/tblExpenses6811[[#Totals],[Yearly]]</f>
        <v>0.1468151913499707</v>
      </c>
    </row>
    <row r="35" spans="1:29" x14ac:dyDescent="0.3">
      <c r="A35" s="14" t="s">
        <v>38</v>
      </c>
      <c r="B35" s="44" t="s">
        <v>49</v>
      </c>
      <c r="C35" s="71">
        <v>2500</v>
      </c>
      <c r="D35" s="71">
        <v>2100</v>
      </c>
      <c r="E35" s="71">
        <v>2500</v>
      </c>
      <c r="F35" s="71">
        <v>2400</v>
      </c>
      <c r="G35" s="71">
        <v>2500</v>
      </c>
      <c r="H35" s="71">
        <v>2400</v>
      </c>
      <c r="I35" s="71">
        <v>2500</v>
      </c>
      <c r="J35" s="71">
        <v>2500</v>
      </c>
      <c r="K35" s="71">
        <v>2400</v>
      </c>
      <c r="L35" s="71">
        <v>2500</v>
      </c>
      <c r="M35" s="71">
        <v>2400</v>
      </c>
      <c r="N35" s="71">
        <v>2500</v>
      </c>
      <c r="O35" s="75">
        <f>SUM(tblExpenses6811[[#This Row],[Jan]:[Dec]])</f>
        <v>29200</v>
      </c>
      <c r="P35" s="34">
        <v>0.15</v>
      </c>
      <c r="Q35" s="45">
        <f>tblExpenses6811[[#This Row],[Jan]]/tblExpenses6811[[#Totals],[Jan]]</f>
        <v>0.14689637342233294</v>
      </c>
      <c r="R35" s="45">
        <f>tblExpenses6811[[#This Row],[Feb]]/tblExpenses6811[[#Totals],[Feb]]</f>
        <v>0.14254780442441234</v>
      </c>
      <c r="S35" s="45">
        <f>tblExpenses6811[[#This Row],[Mar]]/tblExpenses6811[[#Totals],[Mar]]</f>
        <v>0.14689637342233294</v>
      </c>
      <c r="T35" s="45">
        <f>tblExpenses6811[[#This Row],[Apr]]/tblExpenses6811[[#Totals],[Apr]]</f>
        <v>0.14763325439055147</v>
      </c>
      <c r="U35" s="45">
        <f>tblExpenses6811[[#This Row],[May]]/tblExpenses6811[[#Totals],[May]]</f>
        <v>0.14689637342233294</v>
      </c>
      <c r="V35" s="45">
        <f>tblExpenses6811[[#This Row],[Jun]]/tblExpenses6811[[#Totals],[Jun]]</f>
        <v>0.14763325439055147</v>
      </c>
      <c r="W35" s="45">
        <f>tblExpenses6811[[#This Row],[Jul]]/tblExpenses6811[[#Totals],[Jul]]</f>
        <v>0.14689637342233294</v>
      </c>
      <c r="X35" s="45">
        <f>tblExpenses6811[[#This Row],[Aug]]/tblExpenses6811[[#Totals],[Aug]]</f>
        <v>0.14689637342233294</v>
      </c>
      <c r="Y35" s="45">
        <f>tblExpenses6811[[#This Row],[Sep]]/tblExpenses6811[[#Totals],[Sep]]</f>
        <v>0.14763325439055147</v>
      </c>
      <c r="Z35" s="45">
        <f>tblExpenses6811[[#This Row],[Oct]]/tblExpenses6811[[#Totals],[Oct]]</f>
        <v>0.14689637342233294</v>
      </c>
      <c r="AA35" s="45">
        <f>tblExpenses6811[[#This Row],[Nov]]/tblExpenses6811[[#Totals],[Nov]]</f>
        <v>0.14763325439055147</v>
      </c>
      <c r="AB35" s="45">
        <f>tblExpenses6811[[#This Row],[Dec]]/tblExpenses6811[[#Totals],[Dec]]</f>
        <v>0.14689637342233294</v>
      </c>
      <c r="AC35" s="45">
        <f>tblExpenses6811[[#This Row],[Yearly]]/tblExpenses6811[[#Totals],[Yearly]]</f>
        <v>0.1468151913499707</v>
      </c>
    </row>
    <row r="36" spans="1:29" x14ac:dyDescent="0.3">
      <c r="A36" s="14" t="s">
        <v>39</v>
      </c>
      <c r="B36" s="44" t="s">
        <v>49</v>
      </c>
      <c r="C36" s="71">
        <v>2500</v>
      </c>
      <c r="D36" s="71">
        <v>2100</v>
      </c>
      <c r="E36" s="71">
        <v>2500</v>
      </c>
      <c r="F36" s="71">
        <v>2400</v>
      </c>
      <c r="G36" s="71">
        <v>2500</v>
      </c>
      <c r="H36" s="71">
        <v>2400</v>
      </c>
      <c r="I36" s="71">
        <v>2500</v>
      </c>
      <c r="J36" s="71">
        <v>2500</v>
      </c>
      <c r="K36" s="71">
        <v>2400</v>
      </c>
      <c r="L36" s="71">
        <v>2500</v>
      </c>
      <c r="M36" s="71">
        <v>2400</v>
      </c>
      <c r="N36" s="71">
        <v>2500</v>
      </c>
      <c r="O36" s="75">
        <f>SUM(tblExpenses6811[[#This Row],[Jan]:[Dec]])</f>
        <v>29200</v>
      </c>
      <c r="P36" s="34">
        <v>0.01</v>
      </c>
      <c r="Q36" s="45">
        <f>tblExpenses6811[[#This Row],[Jan]]/tblExpenses6811[[#Totals],[Jan]]</f>
        <v>0.14689637342233294</v>
      </c>
      <c r="R36" s="45">
        <f>tblExpenses6811[[#This Row],[Feb]]/tblExpenses6811[[#Totals],[Feb]]</f>
        <v>0.14254780442441234</v>
      </c>
      <c r="S36" s="45">
        <f>tblExpenses6811[[#This Row],[Mar]]/tblExpenses6811[[#Totals],[Mar]]</f>
        <v>0.14689637342233294</v>
      </c>
      <c r="T36" s="45">
        <f>tblExpenses6811[[#This Row],[Apr]]/tblExpenses6811[[#Totals],[Apr]]</f>
        <v>0.14763325439055147</v>
      </c>
      <c r="U36" s="45">
        <f>tblExpenses6811[[#This Row],[May]]/tblExpenses6811[[#Totals],[May]]</f>
        <v>0.14689637342233294</v>
      </c>
      <c r="V36" s="45">
        <f>tblExpenses6811[[#This Row],[Jun]]/tblExpenses6811[[#Totals],[Jun]]</f>
        <v>0.14763325439055147</v>
      </c>
      <c r="W36" s="45">
        <f>tblExpenses6811[[#This Row],[Jul]]/tblExpenses6811[[#Totals],[Jul]]</f>
        <v>0.14689637342233294</v>
      </c>
      <c r="X36" s="45">
        <f>tblExpenses6811[[#This Row],[Aug]]/tblExpenses6811[[#Totals],[Aug]]</f>
        <v>0.14689637342233294</v>
      </c>
      <c r="Y36" s="45">
        <f>tblExpenses6811[[#This Row],[Sep]]/tblExpenses6811[[#Totals],[Sep]]</f>
        <v>0.14763325439055147</v>
      </c>
      <c r="Z36" s="45">
        <f>tblExpenses6811[[#This Row],[Oct]]/tblExpenses6811[[#Totals],[Oct]]</f>
        <v>0.14689637342233294</v>
      </c>
      <c r="AA36" s="45">
        <f>tblExpenses6811[[#This Row],[Nov]]/tblExpenses6811[[#Totals],[Nov]]</f>
        <v>0.14763325439055147</v>
      </c>
      <c r="AB36" s="45">
        <f>tblExpenses6811[[#This Row],[Dec]]/tblExpenses6811[[#Totals],[Dec]]</f>
        <v>0.14689637342233294</v>
      </c>
      <c r="AC36" s="45">
        <f>tblExpenses6811[[#This Row],[Yearly]]/tblExpenses6811[[#Totals],[Yearly]]</f>
        <v>0.1468151913499707</v>
      </c>
    </row>
    <row r="37" spans="1:29" x14ac:dyDescent="0.3">
      <c r="A37" s="14" t="s">
        <v>40</v>
      </c>
      <c r="B37" s="46"/>
      <c r="C37" s="71">
        <v>2500</v>
      </c>
      <c r="D37" s="71">
        <v>2100</v>
      </c>
      <c r="E37" s="71">
        <v>2500</v>
      </c>
      <c r="F37" s="71">
        <v>2400</v>
      </c>
      <c r="G37" s="71">
        <v>2500</v>
      </c>
      <c r="H37" s="71">
        <v>2400</v>
      </c>
      <c r="I37" s="71">
        <v>2500</v>
      </c>
      <c r="J37" s="71">
        <v>2500</v>
      </c>
      <c r="K37" s="71">
        <v>2400</v>
      </c>
      <c r="L37" s="71">
        <v>2500</v>
      </c>
      <c r="M37" s="71">
        <v>2400</v>
      </c>
      <c r="N37" s="71">
        <v>2500</v>
      </c>
      <c r="O37" s="75">
        <f>SUM(tblExpenses6811[[#This Row],[Jan]:[Dec]])</f>
        <v>29200</v>
      </c>
      <c r="P37" s="34">
        <v>0.01</v>
      </c>
      <c r="Q37" s="45">
        <f>tblExpenses6811[[#This Row],[Jan]]/tblExpenses6811[[#Totals],[Jan]]</f>
        <v>0.14689637342233294</v>
      </c>
      <c r="R37" s="45">
        <f>tblExpenses6811[[#This Row],[Feb]]/tblExpenses6811[[#Totals],[Feb]]</f>
        <v>0.14254780442441234</v>
      </c>
      <c r="S37" s="45">
        <f>tblExpenses6811[[#This Row],[Mar]]/tblExpenses6811[[#Totals],[Mar]]</f>
        <v>0.14689637342233294</v>
      </c>
      <c r="T37" s="45">
        <f>tblExpenses6811[[#This Row],[Apr]]/tblExpenses6811[[#Totals],[Apr]]</f>
        <v>0.14763325439055147</v>
      </c>
      <c r="U37" s="45">
        <f>tblExpenses6811[[#This Row],[May]]/tblExpenses6811[[#Totals],[May]]</f>
        <v>0.14689637342233294</v>
      </c>
      <c r="V37" s="45">
        <f>tblExpenses6811[[#This Row],[Jun]]/tblExpenses6811[[#Totals],[Jun]]</f>
        <v>0.14763325439055147</v>
      </c>
      <c r="W37" s="45">
        <f>tblExpenses6811[[#This Row],[Jul]]/tblExpenses6811[[#Totals],[Jul]]</f>
        <v>0.14689637342233294</v>
      </c>
      <c r="X37" s="45">
        <f>tblExpenses6811[[#This Row],[Aug]]/tblExpenses6811[[#Totals],[Aug]]</f>
        <v>0.14689637342233294</v>
      </c>
      <c r="Y37" s="45">
        <f>tblExpenses6811[[#This Row],[Sep]]/tblExpenses6811[[#Totals],[Sep]]</f>
        <v>0.14763325439055147</v>
      </c>
      <c r="Z37" s="45">
        <f>tblExpenses6811[[#This Row],[Oct]]/tblExpenses6811[[#Totals],[Oct]]</f>
        <v>0.14689637342233294</v>
      </c>
      <c r="AA37" s="45">
        <f>tblExpenses6811[[#This Row],[Nov]]/tblExpenses6811[[#Totals],[Nov]]</f>
        <v>0.14763325439055147</v>
      </c>
      <c r="AB37" s="45">
        <f>tblExpenses6811[[#This Row],[Dec]]/tblExpenses6811[[#Totals],[Dec]]</f>
        <v>0.14689637342233294</v>
      </c>
      <c r="AC37" s="45">
        <f>tblExpenses6811[[#This Row],[Yearly]]/tblExpenses6811[[#Totals],[Yearly]]</f>
        <v>0.1468151913499707</v>
      </c>
    </row>
    <row r="38" spans="1:29" x14ac:dyDescent="0.3">
      <c r="A38" s="14" t="s">
        <v>41</v>
      </c>
      <c r="B38" s="44"/>
      <c r="C38" s="71">
        <v>2500</v>
      </c>
      <c r="D38" s="71">
        <v>2100</v>
      </c>
      <c r="E38" s="71">
        <v>2500</v>
      </c>
      <c r="F38" s="71">
        <v>2400</v>
      </c>
      <c r="G38" s="71">
        <v>2500</v>
      </c>
      <c r="H38" s="71">
        <v>2400</v>
      </c>
      <c r="I38" s="71">
        <v>2500</v>
      </c>
      <c r="J38" s="71">
        <v>2500</v>
      </c>
      <c r="K38" s="71">
        <v>2400</v>
      </c>
      <c r="L38" s="71">
        <v>2500</v>
      </c>
      <c r="M38" s="71">
        <v>2400</v>
      </c>
      <c r="N38" s="71">
        <v>2500</v>
      </c>
      <c r="O38" s="75">
        <f>SUM(tblExpenses6811[[#This Row],[Jan]:[Dec]])</f>
        <v>29200</v>
      </c>
      <c r="P38" s="34">
        <v>0.01</v>
      </c>
      <c r="Q38" s="45">
        <f>tblExpenses6811[[#This Row],[Jan]]/tblExpenses6811[[#Totals],[Jan]]</f>
        <v>0.14689637342233294</v>
      </c>
      <c r="R38" s="45">
        <f>tblExpenses6811[[#This Row],[Feb]]/tblExpenses6811[[#Totals],[Feb]]</f>
        <v>0.14254780442441234</v>
      </c>
      <c r="S38" s="45">
        <f>tblExpenses6811[[#This Row],[Mar]]/tblExpenses6811[[#Totals],[Mar]]</f>
        <v>0.14689637342233294</v>
      </c>
      <c r="T38" s="45">
        <f>tblExpenses6811[[#This Row],[Apr]]/tblExpenses6811[[#Totals],[Apr]]</f>
        <v>0.14763325439055147</v>
      </c>
      <c r="U38" s="45">
        <f>tblExpenses6811[[#This Row],[May]]/tblExpenses6811[[#Totals],[May]]</f>
        <v>0.14689637342233294</v>
      </c>
      <c r="V38" s="45">
        <f>tblExpenses6811[[#This Row],[Jun]]/tblExpenses6811[[#Totals],[Jun]]</f>
        <v>0.14763325439055147</v>
      </c>
      <c r="W38" s="45">
        <f>tblExpenses6811[[#This Row],[Jul]]/tblExpenses6811[[#Totals],[Jul]]</f>
        <v>0.14689637342233294</v>
      </c>
      <c r="X38" s="45">
        <f>tblExpenses6811[[#This Row],[Aug]]/tblExpenses6811[[#Totals],[Aug]]</f>
        <v>0.14689637342233294</v>
      </c>
      <c r="Y38" s="45">
        <f>tblExpenses6811[[#This Row],[Sep]]/tblExpenses6811[[#Totals],[Sep]]</f>
        <v>0.14763325439055147</v>
      </c>
      <c r="Z38" s="45">
        <f>tblExpenses6811[[#This Row],[Oct]]/tblExpenses6811[[#Totals],[Oct]]</f>
        <v>0.14689637342233294</v>
      </c>
      <c r="AA38" s="45">
        <f>tblExpenses6811[[#This Row],[Nov]]/tblExpenses6811[[#Totals],[Nov]]</f>
        <v>0.14763325439055147</v>
      </c>
      <c r="AB38" s="45">
        <f>tblExpenses6811[[#This Row],[Dec]]/tblExpenses6811[[#Totals],[Dec]]</f>
        <v>0.14689637342233294</v>
      </c>
      <c r="AC38" s="45">
        <f>tblExpenses6811[[#This Row],[Yearly]]/tblExpenses6811[[#Totals],[Yearly]]</f>
        <v>0.1468151913499707</v>
      </c>
    </row>
    <row r="39" spans="1:29" x14ac:dyDescent="0.3">
      <c r="A39" s="47" t="s">
        <v>84</v>
      </c>
      <c r="B39" s="48" t="s">
        <v>49</v>
      </c>
      <c r="C39" s="73">
        <f>C38+C37+C36+C35+C34+C33+C32</f>
        <v>17018.8</v>
      </c>
      <c r="D39" s="73">
        <f t="shared" ref="D39:N39" si="16">D38+D37+D36+D35+D34+D33+D32</f>
        <v>14731.9</v>
      </c>
      <c r="E39" s="73">
        <f t="shared" si="16"/>
        <v>17018.8</v>
      </c>
      <c r="F39" s="73">
        <f t="shared" si="16"/>
        <v>16256.5</v>
      </c>
      <c r="G39" s="73">
        <f t="shared" si="16"/>
        <v>17018.8</v>
      </c>
      <c r="H39" s="73">
        <f>H38+H37+H36+H35+H34+H33+H32</f>
        <v>16256.5</v>
      </c>
      <c r="I39" s="73">
        <f t="shared" si="16"/>
        <v>17018.8</v>
      </c>
      <c r="J39" s="73">
        <f t="shared" si="16"/>
        <v>17018.8</v>
      </c>
      <c r="K39" s="73">
        <f t="shared" si="16"/>
        <v>16256.5</v>
      </c>
      <c r="L39" s="73">
        <f t="shared" si="16"/>
        <v>17018.8</v>
      </c>
      <c r="M39" s="73">
        <f t="shared" si="16"/>
        <v>16256.5</v>
      </c>
      <c r="N39" s="73">
        <f t="shared" si="16"/>
        <v>17018.8</v>
      </c>
      <c r="O39" s="70">
        <f>SUBTOTAL(109,tblExpenses6811[Yearly])</f>
        <v>198889.5</v>
      </c>
      <c r="P39" s="40">
        <f>SUBTOTAL(109,tblExpenses6811[Index %])</f>
        <v>0.23000000000000004</v>
      </c>
      <c r="Q39" s="40">
        <f>SUBTOTAL(109,tblExpenses6811[Jan %])</f>
        <v>1</v>
      </c>
      <c r="R39" s="40">
        <f>SUBTOTAL(109,tblExpenses6811[Feb %])</f>
        <v>1.0000000000000002</v>
      </c>
      <c r="S39" s="40">
        <f>SUBTOTAL(109,tblExpenses6811[Mar %])</f>
        <v>1</v>
      </c>
      <c r="T39" s="40">
        <f>SUBTOTAL(109,tblExpenses6811[Apr %])</f>
        <v>0.99999999999999978</v>
      </c>
      <c r="U39" s="40">
        <f>SUBTOTAL(109,tblExpenses6811[May %])</f>
        <v>1</v>
      </c>
      <c r="V39" s="40">
        <f>SUBTOTAL(109,tblExpenses6811[Jun %])</f>
        <v>0.99999999999999978</v>
      </c>
      <c r="W39" s="40">
        <f>SUBTOTAL(109,tblExpenses6811[Jul %])</f>
        <v>1</v>
      </c>
      <c r="X39" s="40">
        <f>SUBTOTAL(109,tblExpenses6811[Aug %])</f>
        <v>1</v>
      </c>
      <c r="Y39" s="40">
        <f>SUBTOTAL(109,tblExpenses6811[Sep %])</f>
        <v>0.99999999999999978</v>
      </c>
      <c r="Z39" s="40">
        <f>SUBTOTAL(109,tblExpenses6811[Oct %])</f>
        <v>1</v>
      </c>
      <c r="AA39" s="40">
        <f>SUBTOTAL(109,tblExpenses6811[Nov %])</f>
        <v>0.99999999999999978</v>
      </c>
      <c r="AB39" s="40">
        <f>SUBTOTAL(109,tblExpenses6811[Dec %])</f>
        <v>1</v>
      </c>
      <c r="AC39" s="40">
        <f>SUBTOTAL(109,tblExpenses6811[Year %])</f>
        <v>0.99999999999999978</v>
      </c>
    </row>
    <row r="40" spans="1:29" ht="15.6" x14ac:dyDescent="0.3">
      <c r="A40" s="41" t="s">
        <v>75</v>
      </c>
      <c r="B40" s="41"/>
      <c r="C40" s="76">
        <f>Revenue9[[#Totals],[Jan]]-CostofSales5710[[#Totals],[Jan]]-tblExpenses6811[[#Totals],[Jan]]</f>
        <v>5000.0000000000036</v>
      </c>
      <c r="D40" s="76">
        <f>Revenue9[[#Totals],[Feb]]-CostofSales5710[[#Totals],[Feb]]-tblExpenses6811[[#Totals],[Feb]]</f>
        <v>5000.0000000000018</v>
      </c>
      <c r="E40" s="76">
        <f>Revenue9[[#Totals],[Mar]]-CostofSales5710[[#Totals],[Mar]]-tblExpenses6811[[#Totals],[Mar]]</f>
        <v>5000.0000000000036</v>
      </c>
      <c r="F40" s="76">
        <f>Revenue9[[#Totals],[Apr]]-CostofSales5710[[#Totals],[Apr]]-tblExpenses6811[[#Totals],[Apr]]</f>
        <v>5000</v>
      </c>
      <c r="G40" s="76">
        <f>Revenue9[[#Totals],[May]]-CostofSales5710[[#Totals],[May]]-tblExpenses6811[[#Totals],[May]]</f>
        <v>5000.0000000000036</v>
      </c>
      <c r="H40" s="76">
        <f>Revenue9[[#Totals],[Jun]]-CostofSales5710[[#Totals],[Jun]]-tblExpenses6811[[#Totals],[Jun]]</f>
        <v>5000</v>
      </c>
      <c r="I40" s="76">
        <f>Revenue9[[#Totals],[Jul]]-CostofSales5710[[#Totals],[Jul]]-tblExpenses6811[[#Totals],[Jul]]</f>
        <v>5000.0000000000036</v>
      </c>
      <c r="J40" s="76">
        <f>Revenue9[[#Totals],[Aug]]-CostofSales5710[[#Totals],[Aug]]-tblExpenses6811[[#Totals],[Aug]]</f>
        <v>5000.0000000000036</v>
      </c>
      <c r="K40" s="76">
        <f>Revenue9[[#Totals],[Sep]]-CostofSales5710[[#Totals],[Sep]]-tblExpenses6811[[#Totals],[Sep]]</f>
        <v>5000</v>
      </c>
      <c r="L40" s="76">
        <f>Revenue9[[#Totals],[Oct]]-CostofSales5710[[#Totals],[Oct]]-tblExpenses6811[[#Totals],[Oct]]</f>
        <v>5000.0000000000036</v>
      </c>
      <c r="M40" s="76">
        <f>Revenue9[[#Totals],[Nov]]-CostofSales5710[[#Totals],[Nov]]-tblExpenses6811[[#Totals],[Nov]]</f>
        <v>5000</v>
      </c>
      <c r="N40" s="76">
        <f>Revenue9[[#Totals],[Dec]]-CostofSales5710[[#Totals],[Dec]]-tblExpenses6811[[#Totals],[Dec]]</f>
        <v>5000.0000000000036</v>
      </c>
      <c r="O40" s="76">
        <f>+N40+M40+L40+K40+J40+I40+H40+G40+F40+E40+D40+C40</f>
        <v>60000.000000000015</v>
      </c>
      <c r="P40" s="50"/>
      <c r="Q40" s="50"/>
      <c r="R40" s="50"/>
      <c r="S40" s="50"/>
      <c r="T40" s="50"/>
      <c r="U40" s="41"/>
      <c r="V40" s="41"/>
      <c r="W40" s="41"/>
      <c r="X40" s="41"/>
      <c r="Y40" s="41"/>
      <c r="Z40" s="41"/>
      <c r="AA40" s="41"/>
      <c r="AB40" s="41"/>
      <c r="AC40" s="41"/>
    </row>
  </sheetData>
  <dataValidations xWindow="84" yWindow="835" count="29">
    <dataValidation allowBlank="1" showInputMessage="1" showErrorMessage="1" prompt="Automatically updated title from Revenue (Sales) worksheet. Enter values in the Expenses table below to calculate total expenses" sqref="A29"/>
    <dataValidation allowBlank="1" showInputMessage="1" showErrorMessage="1" prompt="Net profit is automatically calculated for each month &amp; year based on gross profit &amp; total expenses" sqref="A40"/>
    <dataValidation allowBlank="1" showInputMessage="1" showErrorMessage="1" prompt="Enter expenses of sources listed in column B, in this column" sqref="C31:N31"/>
    <dataValidation allowBlank="1" showInputMessage="1" showErrorMessage="1" prompt="A trend chart for expenses over time is in this column" sqref="B31:B32"/>
    <dataValidation allowBlank="1" showInputMessage="1" showErrorMessage="1" prompt="Enter expenses in this column" sqref="A31:A32"/>
    <dataValidation allowBlank="1" showInputMessage="1" showErrorMessage="1" prompt="Automatically calculates proportion of expenses from different sources to total expenses for the year in this column" sqref="AC30"/>
    <dataValidation allowBlank="1" showInputMessage="1" showErrorMessage="1" prompt="Automatically calculates proportion of expenses from different sources to total expenses in this column, for the month in this cell" sqref="Q30:AB30"/>
    <dataValidation allowBlank="1" showInputMessage="1" showErrorMessage="1" prompt="Gross profit for each month and year is automatically calculated in this row based on total sales &amp; total costs of sales" sqref="A28"/>
    <dataValidation allowBlank="1" showInputMessage="1" showErrorMessage="1" prompt="Automatically updated title from Revenue (Sales) worksheet. Enter values in the Cost of Sales table below to calculate total costs of sales" sqref="A17"/>
    <dataValidation allowBlank="1" showInputMessage="1" showErrorMessage="1" prompt="Month &amp; year are automatically updated in cells at right. To change month or year, modify cells AC2 and AD2 in Revenue (Sales) worksheet" sqref="AA17"/>
    <dataValidation allowBlank="1" showInputMessage="1" showErrorMessage="1" prompt="Enter cost of the sources listed in column B, in this column" sqref="C19:N19"/>
    <dataValidation allowBlank="1" showInputMessage="1" showErrorMessage="1" prompt="A trend chart for costs over time is in this column" sqref="B19"/>
    <dataValidation allowBlank="1" showInputMessage="1" showErrorMessage="1" prompt="Enter cost of sales in this column" sqref="A19"/>
    <dataValidation allowBlank="1" showInputMessage="1" showErrorMessage="1" prompt="Automatically calculates proportion of cost of sales from different sources to total sales for the year in this column" sqref="AC18"/>
    <dataValidation allowBlank="1" showInputMessage="1" showErrorMessage="1" prompt="Automatically calculates proportion of cost of sales from different sources to total sales in this column, for the month in this cell" sqref="Q18:AB18"/>
    <dataValidation allowBlank="1" showInputMessage="1" showErrorMessage="1" prompt="Automatically updated month. To change, modify cell AC2 in Revenues (Sales) sheet" sqref="AB17"/>
    <dataValidation allowBlank="1" showInputMessage="1" showErrorMessage="1" prompt="Automatically updated year. To change, modify cell AD2 in Revenues (Sales) sheet" sqref="AC17"/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B2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C2"/>
    <dataValidation allowBlank="1" showInputMessage="1" showErrorMessage="1" prompt="Select fiscal year starting month in cell AC2 and enter a year in cell AD2 at right of this label" sqref="AA2"/>
    <dataValidation allowBlank="1" showInputMessage="1" showErrorMessage="1" prompt="Enter a title for the projection period for which total sales are calculated" sqref="A1"/>
    <dataValidation allowBlank="1" showInputMessage="1" showErrorMessage="1" prompt="Projection title is in this cell. Enter values in the Revenue table, below, to calculate total sales" sqref="A2"/>
    <dataValidation allowBlank="1" showInputMessage="1" showErrorMessage="1" prompt="Enter company name in this cell" sqref="AC1"/>
    <dataValidation allowBlank="1" showInputMessage="1" showErrorMessage="1" prompt="The dates in this row are automatically updated based on the starting month of fiscal year. To change starting month, modify cell AC2" sqref="C30:O30"/>
    <dataValidation allowBlank="1" showInputMessage="1" showErrorMessage="1" prompt="Enter index percent in this column" sqref="P4 P19 P31:P32"/>
    <dataValidation allowBlank="1" showInputMessage="1" showErrorMessage="1" prompt="Enter revenue generated by sales in this column" sqref="A4"/>
    <dataValidation allowBlank="1" showInputMessage="1" showErrorMessage="1" prompt="A trend chart for revenue over time is in this column" sqref="B4"/>
    <dataValidation allowBlank="1" showInputMessage="1" showErrorMessage="1" prompt="Enter revenue for sources listed in column B in this column" sqref="C4:N4 C18:N18"/>
    <dataValidation allowBlank="1" showInputMessage="1" showErrorMessage="1" prompt="Index percent is in this column" sqref="P30 P18"/>
  </dataValidations>
  <pageMargins left="0.7" right="0.7" top="0.75" bottom="0.75" header="0.3" footer="0.3"/>
  <pageSetup orientation="portrait" horizontalDpi="4294967293" verticalDpi="0" r:id="rId1"/>
  <ignoredErrors>
    <ignoredError sqref="O15 AD14:AE14 AF14:AG14" calculatedColumn="1"/>
  </ignoredErrors>
  <legacy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Managment'!C26:N26</xm:f>
              <xm:sqref>B26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Managment'!C25:N25</xm:f>
              <xm:sqref>B25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Managment'!C24:N24</xm:f>
              <xm:sqref>B24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Managment'!C23:N23</xm:f>
              <xm:sqref>B23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Managment'!C22:N22</xm:f>
              <xm:sqref>B22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Managment'!C21:N21</xm:f>
              <xm:sqref>B21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Managment'!C20:N20</xm:f>
              <xm:sqref>B20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Managment'!C6:N6</xm:f>
              <xm:sqref>B6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Managment'!C8:N8</xm:f>
              <xm:sqref>B8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Managment'!C7:N7</xm:f>
              <xm:sqref>B7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Managment'!C10:N10</xm:f>
              <xm:sqref>B10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Managment'!C9:N9</xm:f>
              <xm:sqref>B9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Managment'!C11:N11</xm:f>
              <xm:sqref>B11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'Account Managment'!C39:N39</xm:f>
              <xm:sqref>B39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'Account Managment'!C32:N32</xm:f>
              <xm:sqref>B32</xm:sqref>
            </x14:sparkline>
            <x14:sparkline>
              <xm:f>'Account Managment'!C33:N33</xm:f>
              <xm:sqref>B33</xm:sqref>
            </x14:sparkline>
            <x14:sparkline>
              <xm:f>'Account Managment'!C34:N34</xm:f>
              <xm:sqref>B34</xm:sqref>
            </x14:sparkline>
            <x14:sparkline>
              <xm:f>'Account Managment'!C35:N35</xm:f>
              <xm:sqref>B35</xm:sqref>
            </x14:sparkline>
            <x14:sparkline>
              <xm:f>'Account Managment'!C36:N36</xm:f>
              <xm:sqref>B36</xm:sqref>
            </x14:sparkline>
            <x14:sparkline>
              <xm:f>'Account Managment'!C37:N37</xm:f>
              <xm:sqref>B37</xm:sqref>
            </x14:sparkline>
            <x14:sparkline>
              <xm:f>'Account Managment'!C38:N38</xm:f>
              <xm:sqref>B38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Managment'!C27:N27</xm:f>
              <xm:sqref>B27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Managment'!C12:N12</xm:f>
              <xm:sqref>B12</xm:sqref>
            </x14:sparkline>
            <x14:sparkline>
              <xm:f>'Account Managment'!C13:N13</xm:f>
              <xm:sqref>B13</xm:sqref>
            </x14:sparkline>
            <x14:sparkline>
              <xm:f>'Account Managment'!C14:N14</xm:f>
              <xm:sqref>B14</xm:sqref>
            </x14:sparkline>
            <x14:sparkline>
              <xm:f>'Account Managment'!C15:N15</xm:f>
              <xm:sqref>B15</xm:sqref>
            </x14:sparkline>
            <x14:sparkline>
              <xm:f>'Account Managment'!C16:N16</xm:f>
              <xm:sqref>B16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'Account Managment'!C5:N5</xm:f>
              <xm:sqref>B5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topLeftCell="A29" zoomScale="65" zoomScaleNormal="65" workbookViewId="0">
      <selection activeCell="H65" sqref="H65"/>
    </sheetView>
  </sheetViews>
  <sheetFormatPr defaultRowHeight="14.4" x14ac:dyDescent="0.3"/>
  <cols>
    <col min="1" max="1" width="20.109375" bestFit="1" customWidth="1"/>
    <col min="3" max="5" width="18" bestFit="1" customWidth="1"/>
    <col min="6" max="6" width="17.5546875" bestFit="1" customWidth="1"/>
    <col min="7" max="7" width="17.5546875" customWidth="1"/>
    <col min="8" max="8" width="19" bestFit="1" customWidth="1"/>
    <col min="9" max="10" width="14.21875" bestFit="1" customWidth="1"/>
    <col min="11" max="11" width="14.5546875" bestFit="1" customWidth="1"/>
    <col min="12" max="12" width="14.21875" bestFit="1" customWidth="1"/>
    <col min="13" max="13" width="17.6640625" customWidth="1"/>
    <col min="14" max="14" width="17.21875" customWidth="1"/>
    <col min="15" max="15" width="18" bestFit="1" customWidth="1"/>
    <col min="16" max="16" width="19.5546875" customWidth="1"/>
    <col min="17" max="17" width="21.88671875" customWidth="1"/>
    <col min="18" max="18" width="19.6640625" customWidth="1"/>
    <col min="23" max="26" width="18.5546875" bestFit="1" customWidth="1"/>
    <col min="27" max="27" width="16.5546875" bestFit="1" customWidth="1"/>
    <col min="28" max="28" width="17.5546875" bestFit="1" customWidth="1"/>
  </cols>
  <sheetData>
    <row r="1" spans="1:15" ht="20.399999999999999" thickBot="1" x14ac:dyDescent="0.35">
      <c r="A1" s="1" t="s">
        <v>56</v>
      </c>
      <c r="I1" s="2"/>
    </row>
    <row r="2" spans="1:15" ht="34.200000000000003" thickTop="1" x14ac:dyDescent="0.3">
      <c r="A2" s="5" t="s">
        <v>57</v>
      </c>
      <c r="D2" s="6"/>
      <c r="F2" s="6"/>
      <c r="J2" s="6"/>
      <c r="K2" s="6"/>
      <c r="L2" s="6"/>
      <c r="M2" s="6"/>
      <c r="N2" s="6"/>
      <c r="O2" s="6"/>
    </row>
    <row r="3" spans="1:15" x14ac:dyDescent="0.3">
      <c r="A3" s="77"/>
      <c r="B3" s="77"/>
      <c r="C3" s="78" t="s">
        <v>58</v>
      </c>
      <c r="D3" s="78" t="s">
        <v>59</v>
      </c>
      <c r="E3" s="78" t="s">
        <v>60</v>
      </c>
      <c r="F3" s="78" t="s">
        <v>61</v>
      </c>
      <c r="G3" s="79" t="s">
        <v>15</v>
      </c>
      <c r="H3" s="79"/>
    </row>
    <row r="4" spans="1:15" ht="15.6" x14ac:dyDescent="0.3">
      <c r="A4" s="80" t="s">
        <v>18</v>
      </c>
      <c r="B4" s="11" t="s">
        <v>19</v>
      </c>
      <c r="C4" s="12" t="s">
        <v>3</v>
      </c>
      <c r="D4" s="12" t="s">
        <v>4</v>
      </c>
      <c r="E4" s="12" t="s">
        <v>5</v>
      </c>
      <c r="F4" s="12" t="s">
        <v>6</v>
      </c>
      <c r="G4" s="13" t="s">
        <v>20</v>
      </c>
    </row>
    <row r="5" spans="1:15" x14ac:dyDescent="0.3">
      <c r="A5" s="14" t="s">
        <v>3</v>
      </c>
      <c r="B5" s="15"/>
      <c r="C5" s="16">
        <v>6300</v>
      </c>
      <c r="D5" s="16">
        <v>6300</v>
      </c>
      <c r="E5" s="16">
        <v>6300</v>
      </c>
      <c r="F5" s="16">
        <v>6300</v>
      </c>
      <c r="G5" s="17">
        <f>B5+C5+D5+E5+F5</f>
        <v>25200</v>
      </c>
      <c r="H5" s="79"/>
    </row>
    <row r="6" spans="1:15" x14ac:dyDescent="0.3">
      <c r="A6" s="14" t="s">
        <v>62</v>
      </c>
      <c r="B6" s="15"/>
      <c r="C6" s="16">
        <v>6300</v>
      </c>
      <c r="D6" s="16">
        <v>6300</v>
      </c>
      <c r="E6" s="16">
        <v>6300</v>
      </c>
      <c r="F6" s="16">
        <v>6300</v>
      </c>
      <c r="G6" s="17">
        <f>B6+C6+D6+E6+F6</f>
        <v>25200</v>
      </c>
    </row>
    <row r="7" spans="1:15" x14ac:dyDescent="0.3">
      <c r="A7" s="14" t="s">
        <v>63</v>
      </c>
      <c r="B7" s="15"/>
      <c r="C7" s="16">
        <v>6300</v>
      </c>
      <c r="D7" s="16">
        <v>6300</v>
      </c>
      <c r="E7" s="16">
        <v>6300</v>
      </c>
      <c r="F7" s="16">
        <v>6300</v>
      </c>
      <c r="G7" s="17">
        <f t="shared" ref="G7:G17" si="0">B7+C7+D7+E7+F7</f>
        <v>25200</v>
      </c>
      <c r="H7" s="79"/>
    </row>
    <row r="8" spans="1:15" x14ac:dyDescent="0.3">
      <c r="A8" s="14" t="s">
        <v>64</v>
      </c>
      <c r="B8" s="15"/>
      <c r="C8" s="16">
        <v>6300</v>
      </c>
      <c r="D8" s="16">
        <v>6300</v>
      </c>
      <c r="E8" s="16">
        <v>6300</v>
      </c>
      <c r="F8" s="16">
        <v>6300</v>
      </c>
      <c r="G8" s="17">
        <f t="shared" si="0"/>
        <v>25200</v>
      </c>
    </row>
    <row r="9" spans="1:15" x14ac:dyDescent="0.3">
      <c r="A9" s="14" t="s">
        <v>7</v>
      </c>
      <c r="B9" s="15"/>
      <c r="C9" s="16">
        <v>6300</v>
      </c>
      <c r="D9" s="16">
        <v>6300</v>
      </c>
      <c r="E9" s="16">
        <v>6300</v>
      </c>
      <c r="F9" s="16">
        <v>6300</v>
      </c>
      <c r="G9" s="17">
        <f t="shared" si="0"/>
        <v>25200</v>
      </c>
      <c r="H9" s="79"/>
    </row>
    <row r="10" spans="1:15" x14ac:dyDescent="0.3">
      <c r="A10" s="14" t="s">
        <v>65</v>
      </c>
      <c r="B10" s="15"/>
      <c r="C10" s="16">
        <v>6300</v>
      </c>
      <c r="D10" s="16">
        <v>6300</v>
      </c>
      <c r="E10" s="16">
        <v>6300</v>
      </c>
      <c r="F10" s="16">
        <v>6300</v>
      </c>
      <c r="G10" s="17">
        <f t="shared" si="0"/>
        <v>25200</v>
      </c>
    </row>
    <row r="11" spans="1:15" x14ac:dyDescent="0.3">
      <c r="A11" s="14" t="s">
        <v>66</v>
      </c>
      <c r="B11" s="15"/>
      <c r="C11" s="16">
        <v>6300</v>
      </c>
      <c r="D11" s="16">
        <v>6300</v>
      </c>
      <c r="E11" s="16">
        <v>6300</v>
      </c>
      <c r="F11" s="16">
        <v>6300</v>
      </c>
      <c r="G11" s="17">
        <f t="shared" si="0"/>
        <v>25200</v>
      </c>
      <c r="H11" s="79"/>
    </row>
    <row r="12" spans="1:15" x14ac:dyDescent="0.3">
      <c r="A12" s="14" t="s">
        <v>10</v>
      </c>
      <c r="B12" s="15"/>
      <c r="C12" s="16">
        <v>6300</v>
      </c>
      <c r="D12" s="16">
        <v>6300</v>
      </c>
      <c r="E12" s="16">
        <v>6300</v>
      </c>
      <c r="F12" s="16">
        <v>6300</v>
      </c>
      <c r="G12" s="17">
        <f t="shared" si="0"/>
        <v>25200</v>
      </c>
    </row>
    <row r="13" spans="1:15" x14ac:dyDescent="0.3">
      <c r="A13" s="14" t="s">
        <v>67</v>
      </c>
      <c r="B13" s="15"/>
      <c r="C13" s="16">
        <v>6300</v>
      </c>
      <c r="D13" s="16">
        <v>6300</v>
      </c>
      <c r="E13" s="16">
        <v>6300</v>
      </c>
      <c r="F13" s="16">
        <v>6300</v>
      </c>
      <c r="G13" s="17">
        <f t="shared" si="0"/>
        <v>25200</v>
      </c>
      <c r="H13" s="79"/>
    </row>
    <row r="14" spans="1:15" x14ac:dyDescent="0.3">
      <c r="A14" s="14" t="s">
        <v>12</v>
      </c>
      <c r="B14" s="15"/>
      <c r="C14" s="16">
        <v>6300</v>
      </c>
      <c r="D14" s="16">
        <v>6300</v>
      </c>
      <c r="E14" s="16">
        <v>6300</v>
      </c>
      <c r="F14" s="16">
        <v>6300</v>
      </c>
      <c r="G14" s="17">
        <f t="shared" si="0"/>
        <v>25200</v>
      </c>
    </row>
    <row r="15" spans="1:15" x14ac:dyDescent="0.3">
      <c r="A15" s="14" t="s">
        <v>13</v>
      </c>
      <c r="B15" s="15"/>
      <c r="C15" s="16">
        <v>6300</v>
      </c>
      <c r="D15" s="16">
        <v>6300</v>
      </c>
      <c r="E15" s="16">
        <v>6300</v>
      </c>
      <c r="F15" s="16">
        <v>6300</v>
      </c>
      <c r="G15" s="17">
        <f t="shared" si="0"/>
        <v>25200</v>
      </c>
      <c r="H15" s="79"/>
    </row>
    <row r="16" spans="1:15" x14ac:dyDescent="0.3">
      <c r="A16" s="14" t="s">
        <v>14</v>
      </c>
      <c r="B16" s="15"/>
      <c r="C16" s="16">
        <v>6300</v>
      </c>
      <c r="D16" s="16">
        <v>6300</v>
      </c>
      <c r="E16" s="16">
        <v>6300</v>
      </c>
      <c r="F16" s="16">
        <v>6300</v>
      </c>
      <c r="G16" s="17">
        <f t="shared" si="0"/>
        <v>25200</v>
      </c>
    </row>
    <row r="17" spans="1:28" x14ac:dyDescent="0.3">
      <c r="A17" s="14" t="s">
        <v>82</v>
      </c>
      <c r="B17" s="15"/>
      <c r="C17" s="16">
        <v>6300</v>
      </c>
      <c r="D17" s="16">
        <v>6300</v>
      </c>
      <c r="E17" s="16">
        <v>6300</v>
      </c>
      <c r="F17" s="16">
        <v>6300</v>
      </c>
      <c r="G17" s="17">
        <f t="shared" si="0"/>
        <v>25200</v>
      </c>
    </row>
    <row r="18" spans="1:28" x14ac:dyDescent="0.3">
      <c r="A18" s="81" t="s">
        <v>68</v>
      </c>
      <c r="B18" s="21"/>
      <c r="C18" s="38">
        <f t="shared" ref="C18:E18" si="1">C17+C16+C15+C14+C13+C12+C11+C10+C9+C8+C7+C6+C5</f>
        <v>81900</v>
      </c>
      <c r="D18" s="38">
        <f t="shared" si="1"/>
        <v>81900</v>
      </c>
      <c r="E18" s="38">
        <f t="shared" si="1"/>
        <v>81900</v>
      </c>
      <c r="F18" s="38">
        <f>F17+F16+F15+F14+F13+F12+F11+F10+F9+F8+F7+F6+F5</f>
        <v>81900</v>
      </c>
      <c r="G18" s="26">
        <f>G17+G16+G15+G14+G13+G12+G11+G10+G9+G8+G7+G6+G5</f>
        <v>327600</v>
      </c>
      <c r="H18" s="79"/>
    </row>
    <row r="19" spans="1:28" ht="33.6" x14ac:dyDescent="0.3">
      <c r="A19" s="5" t="s">
        <v>44</v>
      </c>
      <c r="D19" s="6"/>
      <c r="F19" s="6"/>
      <c r="J19" s="6"/>
      <c r="K19" s="6"/>
      <c r="L19" s="6"/>
      <c r="M19" s="6"/>
      <c r="N19" s="6"/>
      <c r="O19" s="6"/>
    </row>
    <row r="20" spans="1:28" x14ac:dyDescent="0.3">
      <c r="A20" s="77"/>
      <c r="B20" s="77"/>
      <c r="C20" s="78" t="s">
        <v>3</v>
      </c>
      <c r="D20" s="79" t="s">
        <v>4</v>
      </c>
      <c r="E20" s="79" t="s">
        <v>5</v>
      </c>
      <c r="F20" s="79" t="s">
        <v>6</v>
      </c>
      <c r="G20" s="79" t="s">
        <v>7</v>
      </c>
      <c r="H20" s="79" t="s">
        <v>8</v>
      </c>
      <c r="I20" s="79" t="s">
        <v>9</v>
      </c>
      <c r="J20" s="79" t="s">
        <v>10</v>
      </c>
      <c r="K20" s="79" t="s">
        <v>11</v>
      </c>
      <c r="L20" s="79" t="s">
        <v>12</v>
      </c>
      <c r="M20" s="79" t="s">
        <v>13</v>
      </c>
      <c r="N20" s="79" t="s">
        <v>14</v>
      </c>
      <c r="O20" s="79" t="s">
        <v>15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15.6" x14ac:dyDescent="0.3">
      <c r="A21" s="82" t="s">
        <v>46</v>
      </c>
      <c r="B21" s="11" t="s">
        <v>19</v>
      </c>
      <c r="C21" s="12" t="s">
        <v>3</v>
      </c>
      <c r="D21" s="12" t="s">
        <v>4</v>
      </c>
      <c r="E21" s="12" t="s">
        <v>5</v>
      </c>
      <c r="F21" s="12" t="s">
        <v>6</v>
      </c>
      <c r="G21" s="12" t="s">
        <v>7</v>
      </c>
      <c r="H21" s="12" t="s">
        <v>8</v>
      </c>
      <c r="I21" s="12" t="s">
        <v>9</v>
      </c>
      <c r="J21" s="12" t="s">
        <v>10</v>
      </c>
      <c r="K21" s="12" t="s">
        <v>11</v>
      </c>
      <c r="L21" s="12" t="s">
        <v>12</v>
      </c>
      <c r="M21" s="12" t="s">
        <v>13</v>
      </c>
      <c r="N21" s="12" t="s">
        <v>14</v>
      </c>
      <c r="O21" s="13" t="s">
        <v>20</v>
      </c>
    </row>
    <row r="22" spans="1:28" ht="15.6" x14ac:dyDescent="0.3">
      <c r="A22" s="83" t="s">
        <v>80</v>
      </c>
      <c r="B22" s="11"/>
      <c r="C22" s="32">
        <v>3200</v>
      </c>
      <c r="D22" s="32">
        <v>3200</v>
      </c>
      <c r="E22" s="32">
        <v>3200</v>
      </c>
      <c r="F22" s="32">
        <v>3200</v>
      </c>
      <c r="G22" s="32">
        <v>3200</v>
      </c>
      <c r="H22" s="32">
        <v>3200</v>
      </c>
      <c r="I22" s="32">
        <v>3200</v>
      </c>
      <c r="J22" s="32">
        <v>3200</v>
      </c>
      <c r="K22" s="32">
        <v>3200</v>
      </c>
      <c r="L22" s="32">
        <v>3200</v>
      </c>
      <c r="M22" s="32">
        <v>3200</v>
      </c>
      <c r="N22" s="32">
        <v>3200</v>
      </c>
      <c r="O22" s="33">
        <f>C22+D22+E22+F22+G22+H22+I22+J22+K22+L22+M22+N22</f>
        <v>38400</v>
      </c>
    </row>
    <row r="23" spans="1:28" x14ac:dyDescent="0.3">
      <c r="A23" s="83" t="s">
        <v>69</v>
      </c>
      <c r="B23" s="31"/>
      <c r="C23" s="32">
        <v>1500</v>
      </c>
      <c r="D23" s="32">
        <v>1500</v>
      </c>
      <c r="E23" s="32">
        <v>1500</v>
      </c>
      <c r="F23" s="32">
        <v>1500</v>
      </c>
      <c r="G23" s="32">
        <v>1500</v>
      </c>
      <c r="H23" s="32">
        <v>1500</v>
      </c>
      <c r="I23" s="32">
        <v>1500</v>
      </c>
      <c r="J23" s="32">
        <v>1500</v>
      </c>
      <c r="K23" s="32">
        <v>1500</v>
      </c>
      <c r="L23" s="32">
        <v>1500</v>
      </c>
      <c r="M23" s="32">
        <v>1500</v>
      </c>
      <c r="N23" s="32">
        <v>1500</v>
      </c>
      <c r="O23" s="33">
        <f>C23+D23+E23+F23+G23+H23+I23+J23+K23+L23+M23+N23</f>
        <v>18000</v>
      </c>
    </row>
    <row r="24" spans="1:28" x14ac:dyDescent="0.3">
      <c r="A24" s="83" t="s">
        <v>37</v>
      </c>
      <c r="B24" s="31"/>
      <c r="C24" s="32">
        <v>1500</v>
      </c>
      <c r="D24" s="32">
        <v>1500</v>
      </c>
      <c r="E24" s="32">
        <v>1500</v>
      </c>
      <c r="F24" s="32">
        <v>1500</v>
      </c>
      <c r="G24" s="32">
        <v>1500</v>
      </c>
      <c r="H24" s="32">
        <v>1500</v>
      </c>
      <c r="I24" s="32">
        <v>1500</v>
      </c>
      <c r="J24" s="32">
        <v>1500</v>
      </c>
      <c r="K24" s="32">
        <v>1500</v>
      </c>
      <c r="L24" s="32">
        <v>1500</v>
      </c>
      <c r="M24" s="32">
        <v>1500</v>
      </c>
      <c r="N24" s="32">
        <v>1500</v>
      </c>
      <c r="O24" s="33">
        <f>C24+D24+E24+F24+G24+H24+I24+J24+K24+L24+M24+N24</f>
        <v>18000</v>
      </c>
    </row>
    <row r="25" spans="1:28" x14ac:dyDescent="0.3">
      <c r="A25" s="83" t="s">
        <v>38</v>
      </c>
      <c r="B25" s="31"/>
      <c r="C25" s="32">
        <v>1500</v>
      </c>
      <c r="D25" s="32">
        <v>1500</v>
      </c>
      <c r="E25" s="32">
        <v>1500</v>
      </c>
      <c r="F25" s="32">
        <v>1500</v>
      </c>
      <c r="G25" s="32">
        <v>1500</v>
      </c>
      <c r="H25" s="32">
        <v>1500</v>
      </c>
      <c r="I25" s="32">
        <v>1500</v>
      </c>
      <c r="J25" s="32">
        <v>1500</v>
      </c>
      <c r="K25" s="32">
        <v>1500</v>
      </c>
      <c r="L25" s="32">
        <v>1500</v>
      </c>
      <c r="M25" s="32">
        <v>1500</v>
      </c>
      <c r="N25" s="32">
        <v>1500</v>
      </c>
      <c r="O25" s="33">
        <f>C25+D25+E25+F25+G25+H25+I25+J25+K25+L25+M25+N25</f>
        <v>18000</v>
      </c>
    </row>
    <row r="26" spans="1:28" x14ac:dyDescent="0.3">
      <c r="A26" s="83" t="s">
        <v>39</v>
      </c>
      <c r="B26" s="31"/>
      <c r="C26" s="32">
        <v>1500</v>
      </c>
      <c r="D26" s="32">
        <v>1500</v>
      </c>
      <c r="E26" s="32">
        <v>1500</v>
      </c>
      <c r="F26" s="32">
        <v>1500</v>
      </c>
      <c r="G26" s="32">
        <v>1500</v>
      </c>
      <c r="H26" s="32">
        <v>1500</v>
      </c>
      <c r="I26" s="32">
        <v>1500</v>
      </c>
      <c r="J26" s="32">
        <v>1500</v>
      </c>
      <c r="K26" s="32">
        <v>1500</v>
      </c>
      <c r="L26" s="32">
        <v>1500</v>
      </c>
      <c r="M26" s="32">
        <v>1500</v>
      </c>
      <c r="N26" s="32">
        <v>1500</v>
      </c>
      <c r="O26" s="33">
        <f>C26+D26+E26+F26+G26+H26+I26+J26+K26+L26+M26+N26</f>
        <v>18000</v>
      </c>
    </row>
    <row r="27" spans="1:28" x14ac:dyDescent="0.3">
      <c r="A27" s="83" t="s">
        <v>40</v>
      </c>
      <c r="B27" s="31"/>
      <c r="C27" s="32">
        <v>1500</v>
      </c>
      <c r="D27" s="32">
        <v>1500</v>
      </c>
      <c r="E27" s="32">
        <v>1500</v>
      </c>
      <c r="F27" s="32">
        <v>1500</v>
      </c>
      <c r="G27" s="32">
        <v>1500</v>
      </c>
      <c r="H27" s="32">
        <v>1500</v>
      </c>
      <c r="I27" s="32">
        <v>1500</v>
      </c>
      <c r="J27" s="32">
        <v>1500</v>
      </c>
      <c r="K27" s="32">
        <v>1500</v>
      </c>
      <c r="L27" s="32">
        <v>1500</v>
      </c>
      <c r="M27" s="32">
        <v>1500</v>
      </c>
      <c r="N27" s="32">
        <v>1500</v>
      </c>
      <c r="O27" s="33">
        <f>C27+D27+E27+F27+G27+H27+I27+J27+K27+L27+M27+N27</f>
        <v>18000</v>
      </c>
    </row>
    <row r="28" spans="1:28" x14ac:dyDescent="0.3">
      <c r="A28" s="83" t="s">
        <v>41</v>
      </c>
      <c r="B28" s="31"/>
      <c r="C28" s="32">
        <v>1500</v>
      </c>
      <c r="D28" s="32">
        <v>1500</v>
      </c>
      <c r="E28" s="32">
        <v>1500</v>
      </c>
      <c r="F28" s="32">
        <v>1500</v>
      </c>
      <c r="G28" s="32">
        <v>1500</v>
      </c>
      <c r="H28" s="32">
        <v>1500</v>
      </c>
      <c r="I28" s="32">
        <v>1500</v>
      </c>
      <c r="J28" s="32">
        <v>1500</v>
      </c>
      <c r="K28" s="32">
        <v>1500</v>
      </c>
      <c r="L28" s="32">
        <v>1500</v>
      </c>
      <c r="M28" s="32">
        <v>1500</v>
      </c>
      <c r="N28" s="32">
        <v>1500</v>
      </c>
      <c r="O28" s="33">
        <f>C28+D28+E28+F28+G28+H28+I28+J28+K28+L28+M28+N28</f>
        <v>18000</v>
      </c>
    </row>
    <row r="29" spans="1:28" x14ac:dyDescent="0.3">
      <c r="A29" s="83" t="s">
        <v>70</v>
      </c>
      <c r="B29" s="31"/>
      <c r="C29" s="84">
        <f>C28+C27+C26+C25+C24+C23+C22</f>
        <v>12200</v>
      </c>
      <c r="D29" s="84">
        <f>D28+D27+D26+D25+D24+D23+D22</f>
        <v>12200</v>
      </c>
      <c r="E29" s="84">
        <f t="shared" ref="E29:L29" si="2">E28+E27+E26+E25+E24+E23+E22</f>
        <v>12200</v>
      </c>
      <c r="F29" s="84">
        <f t="shared" si="2"/>
        <v>12200</v>
      </c>
      <c r="G29" s="84">
        <f t="shared" si="2"/>
        <v>12200</v>
      </c>
      <c r="H29" s="84">
        <f t="shared" si="2"/>
        <v>12200</v>
      </c>
      <c r="I29" s="84">
        <f t="shared" si="2"/>
        <v>12200</v>
      </c>
      <c r="J29" s="84">
        <f t="shared" si="2"/>
        <v>12200</v>
      </c>
      <c r="K29" s="84">
        <f t="shared" si="2"/>
        <v>12200</v>
      </c>
      <c r="L29" s="84">
        <f t="shared" si="2"/>
        <v>12200</v>
      </c>
      <c r="M29" s="84">
        <f>M28+M27+M26+M25+M24+M23+M22</f>
        <v>12200</v>
      </c>
      <c r="N29" s="84">
        <f t="shared" ref="N29" si="3">N28+N27+N26+N25+N24+N23+N22</f>
        <v>12200</v>
      </c>
      <c r="O29" s="33">
        <f>C29+D29+E29+F29+G29+H29+I29+J29+K29+L29+M29+N29</f>
        <v>146400</v>
      </c>
    </row>
    <row r="30" spans="1:28" x14ac:dyDescent="0.3">
      <c r="A30" s="83" t="s">
        <v>83</v>
      </c>
      <c r="B30" s="31"/>
      <c r="C30" s="118">
        <v>2100</v>
      </c>
      <c r="D30" s="118">
        <v>2100</v>
      </c>
      <c r="E30" s="118">
        <v>2100</v>
      </c>
      <c r="F30" s="118">
        <v>2100</v>
      </c>
      <c r="G30" s="118">
        <v>2100</v>
      </c>
      <c r="H30" s="118">
        <v>2100</v>
      </c>
      <c r="I30" s="118">
        <v>2100</v>
      </c>
      <c r="J30" s="118">
        <v>2100</v>
      </c>
      <c r="K30" s="118">
        <v>2100</v>
      </c>
      <c r="L30" s="118">
        <v>2100</v>
      </c>
      <c r="M30" s="118">
        <v>2100</v>
      </c>
      <c r="N30" s="118">
        <v>2100</v>
      </c>
      <c r="O30" s="33">
        <f>C30+D30+E30+F30+G30+H30+I30+J30+K30+L30+M30+N30</f>
        <v>25200</v>
      </c>
    </row>
    <row r="31" spans="1:28" ht="15.6" x14ac:dyDescent="0.3">
      <c r="A31" s="41" t="s">
        <v>47</v>
      </c>
      <c r="B31" s="41"/>
      <c r="C31" s="42">
        <f>(G5-C29)+C30</f>
        <v>15100</v>
      </c>
      <c r="D31" s="42">
        <f>(G6-D29)+D30</f>
        <v>15100</v>
      </c>
      <c r="E31" s="42">
        <f>(G7-E29)+E30</f>
        <v>15100</v>
      </c>
      <c r="F31" s="42">
        <f>(G8-F29)+F30</f>
        <v>15100</v>
      </c>
      <c r="G31" s="42">
        <f>(G9-G29)+G30</f>
        <v>15100</v>
      </c>
      <c r="H31" s="42">
        <f>(G10-H29)+H30</f>
        <v>15100</v>
      </c>
      <c r="I31" s="42">
        <f>(G11-I29)+I30</f>
        <v>15100</v>
      </c>
      <c r="J31" s="42">
        <f>(G12-J29)+J30</f>
        <v>15100</v>
      </c>
      <c r="K31" s="42">
        <f>(G13-K29)+K30</f>
        <v>15100</v>
      </c>
      <c r="L31" s="42">
        <f>(G14-L29)+L30</f>
        <v>15100</v>
      </c>
      <c r="M31" s="42">
        <f>(G15-M29)+M30</f>
        <v>15100</v>
      </c>
      <c r="N31" s="42">
        <f>(G16-N29)+N30</f>
        <v>15100</v>
      </c>
      <c r="O31" s="85">
        <f>(G18-O29)+O30</f>
        <v>206400</v>
      </c>
    </row>
    <row r="32" spans="1:28" ht="20.399999999999999" thickBot="1" x14ac:dyDescent="0.35">
      <c r="A32" s="1"/>
      <c r="I32" s="2"/>
      <c r="J32" s="2"/>
    </row>
    <row r="33" spans="1:17" ht="34.200000000000003" thickTop="1" x14ac:dyDescent="0.3">
      <c r="A33" s="5" t="s">
        <v>48</v>
      </c>
      <c r="D33" s="6"/>
      <c r="F33" s="6"/>
      <c r="J33" s="6"/>
      <c r="K33" s="5" t="s">
        <v>44</v>
      </c>
      <c r="N33" s="6"/>
      <c r="P33" s="6"/>
    </row>
    <row r="34" spans="1:17" x14ac:dyDescent="0.3">
      <c r="A34" s="77"/>
      <c r="B34" s="77"/>
      <c r="C34" s="78" t="s">
        <v>71</v>
      </c>
      <c r="D34" s="79" t="s">
        <v>72</v>
      </c>
      <c r="E34" s="79" t="s">
        <v>73</v>
      </c>
      <c r="F34" s="79" t="s">
        <v>74</v>
      </c>
      <c r="G34" s="79" t="s">
        <v>15</v>
      </c>
      <c r="K34" s="77"/>
      <c r="L34" s="77"/>
      <c r="M34" s="78" t="s">
        <v>71</v>
      </c>
      <c r="N34" s="79" t="s">
        <v>72</v>
      </c>
      <c r="O34" s="79" t="s">
        <v>73</v>
      </c>
      <c r="P34" s="79" t="s">
        <v>74</v>
      </c>
      <c r="Q34" s="79" t="s">
        <v>15</v>
      </c>
    </row>
    <row r="35" spans="1:17" ht="15.6" x14ac:dyDescent="0.3">
      <c r="A35" s="80" t="s">
        <v>18</v>
      </c>
      <c r="B35" s="11" t="s">
        <v>19</v>
      </c>
      <c r="C35" s="12" t="s">
        <v>3</v>
      </c>
      <c r="D35" s="12" t="s">
        <v>4</v>
      </c>
      <c r="E35" s="12" t="s">
        <v>5</v>
      </c>
      <c r="F35" s="12" t="s">
        <v>6</v>
      </c>
      <c r="G35" s="13" t="s">
        <v>20</v>
      </c>
      <c r="K35" s="80" t="s">
        <v>18</v>
      </c>
      <c r="L35" s="11" t="s">
        <v>19</v>
      </c>
      <c r="M35" s="12" t="s">
        <v>3</v>
      </c>
      <c r="N35" s="12" t="s">
        <v>4</v>
      </c>
      <c r="O35" s="12" t="s">
        <v>5</v>
      </c>
      <c r="P35" s="12" t="s">
        <v>6</v>
      </c>
      <c r="Q35" s="13" t="s">
        <v>20</v>
      </c>
    </row>
    <row r="36" spans="1:17" x14ac:dyDescent="0.3">
      <c r="A36" s="14" t="s">
        <v>3</v>
      </c>
      <c r="B36" s="15"/>
      <c r="C36" s="86">
        <v>3750</v>
      </c>
      <c r="D36" s="86">
        <v>3750</v>
      </c>
      <c r="E36" s="86">
        <v>3750</v>
      </c>
      <c r="F36" s="86">
        <v>3750</v>
      </c>
      <c r="G36" s="17">
        <f>B36+C36+D36+E36+F36</f>
        <v>15000</v>
      </c>
      <c r="K36" s="14" t="s">
        <v>3</v>
      </c>
      <c r="L36" s="15"/>
      <c r="M36" s="16">
        <v>3050</v>
      </c>
      <c r="N36" s="16">
        <v>3050</v>
      </c>
      <c r="O36" s="16">
        <v>3050</v>
      </c>
      <c r="P36" s="16">
        <v>3050</v>
      </c>
      <c r="Q36" s="17">
        <f>P36+O36+N36+M36+L36</f>
        <v>12200</v>
      </c>
    </row>
    <row r="37" spans="1:17" x14ac:dyDescent="0.3">
      <c r="A37" s="14" t="s">
        <v>62</v>
      </c>
      <c r="B37" s="15"/>
      <c r="C37" s="16">
        <v>3150</v>
      </c>
      <c r="D37" s="16">
        <v>3150</v>
      </c>
      <c r="E37" s="16">
        <v>3150</v>
      </c>
      <c r="F37" s="16">
        <v>3150</v>
      </c>
      <c r="G37" s="17">
        <f>B37+C37+D37+E37+F37</f>
        <v>12600</v>
      </c>
      <c r="K37" s="14" t="s">
        <v>62</v>
      </c>
      <c r="L37" s="15"/>
      <c r="M37" s="16">
        <v>3050</v>
      </c>
      <c r="N37" s="16">
        <v>3050</v>
      </c>
      <c r="O37" s="16">
        <v>3050</v>
      </c>
      <c r="P37" s="16">
        <v>3050</v>
      </c>
      <c r="Q37" s="17">
        <f>P37+O37+N37+M37+L37</f>
        <v>12200</v>
      </c>
    </row>
    <row r="38" spans="1:17" x14ac:dyDescent="0.3">
      <c r="A38" s="14" t="s">
        <v>63</v>
      </c>
      <c r="B38" s="15"/>
      <c r="C38" s="86">
        <v>3750</v>
      </c>
      <c r="D38" s="86">
        <v>3750</v>
      </c>
      <c r="E38" s="86">
        <v>3750</v>
      </c>
      <c r="F38" s="86">
        <v>3750</v>
      </c>
      <c r="G38" s="17">
        <f t="shared" ref="G38:G47" si="4">B38+C38+D38+E38+F38</f>
        <v>15000</v>
      </c>
      <c r="K38" s="14" t="s">
        <v>63</v>
      </c>
      <c r="L38" s="15"/>
      <c r="M38" s="16">
        <v>3050</v>
      </c>
      <c r="N38" s="16">
        <v>3050</v>
      </c>
      <c r="O38" s="16">
        <v>3050</v>
      </c>
      <c r="P38" s="16">
        <v>3050</v>
      </c>
      <c r="Q38" s="17">
        <f>P38+O38+N38+M38+L38</f>
        <v>12200</v>
      </c>
    </row>
    <row r="39" spans="1:17" x14ac:dyDescent="0.3">
      <c r="A39" s="14" t="s">
        <v>64</v>
      </c>
      <c r="B39" s="15"/>
      <c r="C39" s="86">
        <v>3600</v>
      </c>
      <c r="D39" s="86">
        <v>3600</v>
      </c>
      <c r="E39" s="86">
        <v>3600</v>
      </c>
      <c r="F39" s="86">
        <v>3600</v>
      </c>
      <c r="G39" s="17">
        <f t="shared" si="4"/>
        <v>14400</v>
      </c>
      <c r="K39" s="14" t="s">
        <v>64</v>
      </c>
      <c r="L39" s="15"/>
      <c r="M39" s="16">
        <v>3050</v>
      </c>
      <c r="N39" s="16">
        <v>3050</v>
      </c>
      <c r="O39" s="16">
        <v>3050</v>
      </c>
      <c r="P39" s="16">
        <v>3050</v>
      </c>
      <c r="Q39" s="17">
        <f>P39+O39+N39+M39+L39</f>
        <v>12200</v>
      </c>
    </row>
    <row r="40" spans="1:17" x14ac:dyDescent="0.3">
      <c r="A40" s="14" t="s">
        <v>7</v>
      </c>
      <c r="B40" s="15"/>
      <c r="C40" s="86">
        <v>3750</v>
      </c>
      <c r="D40" s="86">
        <v>3750</v>
      </c>
      <c r="E40" s="86">
        <v>3750</v>
      </c>
      <c r="F40" s="86">
        <v>3750</v>
      </c>
      <c r="G40" s="17">
        <f>B40+C40+D40+E40+F41</f>
        <v>14850</v>
      </c>
      <c r="K40" s="14" t="s">
        <v>7</v>
      </c>
      <c r="L40" s="15"/>
      <c r="M40" s="16">
        <v>3050</v>
      </c>
      <c r="N40" s="16">
        <v>3050</v>
      </c>
      <c r="O40" s="16">
        <v>3050</v>
      </c>
      <c r="P40" s="16">
        <v>3050</v>
      </c>
      <c r="Q40" s="17">
        <f>P40+O40+N40+M40+L40</f>
        <v>12200</v>
      </c>
    </row>
    <row r="41" spans="1:17" x14ac:dyDescent="0.3">
      <c r="A41" s="14" t="s">
        <v>65</v>
      </c>
      <c r="B41" s="15"/>
      <c r="C41" s="86">
        <v>3600</v>
      </c>
      <c r="D41" s="86">
        <v>3600</v>
      </c>
      <c r="E41" s="86">
        <v>3600</v>
      </c>
      <c r="F41" s="86">
        <v>3600</v>
      </c>
      <c r="G41" s="17">
        <f>B41+C41+D41+E41+F41</f>
        <v>14400</v>
      </c>
      <c r="K41" s="14" t="s">
        <v>65</v>
      </c>
      <c r="L41" s="15"/>
      <c r="M41" s="16">
        <v>3050</v>
      </c>
      <c r="N41" s="16">
        <v>3050</v>
      </c>
      <c r="O41" s="16">
        <v>3050</v>
      </c>
      <c r="P41" s="16">
        <v>3050</v>
      </c>
      <c r="Q41" s="17">
        <f>P41+O41+N41+M41+L41</f>
        <v>12200</v>
      </c>
    </row>
    <row r="42" spans="1:17" x14ac:dyDescent="0.3">
      <c r="A42" s="14" t="s">
        <v>66</v>
      </c>
      <c r="B42" s="15"/>
      <c r="C42" s="86">
        <v>3750</v>
      </c>
      <c r="D42" s="86">
        <v>3750</v>
      </c>
      <c r="E42" s="86">
        <v>3750</v>
      </c>
      <c r="F42" s="86">
        <v>3750</v>
      </c>
      <c r="G42" s="17">
        <f>B42+C42+D42+E42+F42</f>
        <v>15000</v>
      </c>
      <c r="K42" s="14" t="s">
        <v>66</v>
      </c>
      <c r="L42" s="15"/>
      <c r="M42" s="16">
        <v>3050</v>
      </c>
      <c r="N42" s="16">
        <v>3050</v>
      </c>
      <c r="O42" s="16">
        <v>3050</v>
      </c>
      <c r="P42" s="16">
        <v>3050</v>
      </c>
      <c r="Q42" s="17">
        <f>P42+O42+N42+M42+L42</f>
        <v>12200</v>
      </c>
    </row>
    <row r="43" spans="1:17" x14ac:dyDescent="0.3">
      <c r="A43" s="14" t="s">
        <v>10</v>
      </c>
      <c r="B43" s="15"/>
      <c r="C43" s="86">
        <v>3750</v>
      </c>
      <c r="D43" s="86">
        <v>3750</v>
      </c>
      <c r="E43" s="86">
        <v>3750</v>
      </c>
      <c r="F43" s="86">
        <v>3750</v>
      </c>
      <c r="G43" s="17">
        <f t="shared" si="4"/>
        <v>15000</v>
      </c>
      <c r="K43" s="14" t="s">
        <v>10</v>
      </c>
      <c r="L43" s="15"/>
      <c r="M43" s="16">
        <v>3050</v>
      </c>
      <c r="N43" s="16">
        <v>3050</v>
      </c>
      <c r="O43" s="16">
        <v>3050</v>
      </c>
      <c r="P43" s="16">
        <v>3050</v>
      </c>
      <c r="Q43" s="17">
        <f>P43+O43+N43+M43+L43</f>
        <v>12200</v>
      </c>
    </row>
    <row r="44" spans="1:17" x14ac:dyDescent="0.3">
      <c r="A44" s="14" t="s">
        <v>67</v>
      </c>
      <c r="B44" s="15"/>
      <c r="C44" s="86">
        <v>3600</v>
      </c>
      <c r="D44" s="86">
        <v>3600</v>
      </c>
      <c r="E44" s="86">
        <v>3600</v>
      </c>
      <c r="F44" s="86">
        <v>3600</v>
      </c>
      <c r="G44" s="17">
        <f t="shared" si="4"/>
        <v>14400</v>
      </c>
      <c r="K44" s="14" t="s">
        <v>67</v>
      </c>
      <c r="L44" s="15"/>
      <c r="M44" s="16">
        <v>3050</v>
      </c>
      <c r="N44" s="16">
        <v>3050</v>
      </c>
      <c r="O44" s="16">
        <v>3050</v>
      </c>
      <c r="P44" s="16">
        <v>3050</v>
      </c>
      <c r="Q44" s="17">
        <f>P44+O44+N44+M44+L44</f>
        <v>12200</v>
      </c>
    </row>
    <row r="45" spans="1:17" x14ac:dyDescent="0.3">
      <c r="A45" s="14" t="s">
        <v>12</v>
      </c>
      <c r="B45" s="15"/>
      <c r="C45" s="86">
        <v>3750</v>
      </c>
      <c r="D45" s="86">
        <v>3750</v>
      </c>
      <c r="E45" s="86">
        <v>3750</v>
      </c>
      <c r="F45" s="86">
        <v>3750</v>
      </c>
      <c r="G45" s="17">
        <f t="shared" si="4"/>
        <v>15000</v>
      </c>
      <c r="K45" s="14" t="s">
        <v>12</v>
      </c>
      <c r="L45" s="15"/>
      <c r="M45" s="16">
        <v>3050</v>
      </c>
      <c r="N45" s="16">
        <v>3050</v>
      </c>
      <c r="O45" s="16">
        <v>3050</v>
      </c>
      <c r="P45" s="16">
        <v>3050</v>
      </c>
      <c r="Q45" s="17">
        <f>P45+O45+N45+M45+L45</f>
        <v>12200</v>
      </c>
    </row>
    <row r="46" spans="1:17" x14ac:dyDescent="0.3">
      <c r="A46" s="14" t="s">
        <v>13</v>
      </c>
      <c r="B46" s="15"/>
      <c r="C46" s="86">
        <v>3600</v>
      </c>
      <c r="D46" s="86">
        <v>3600</v>
      </c>
      <c r="E46" s="86">
        <v>3600</v>
      </c>
      <c r="F46" s="86">
        <v>3600</v>
      </c>
      <c r="G46" s="17">
        <f t="shared" si="4"/>
        <v>14400</v>
      </c>
      <c r="K46" s="14" t="s">
        <v>13</v>
      </c>
      <c r="L46" s="15"/>
      <c r="M46" s="16">
        <v>3050</v>
      </c>
      <c r="N46" s="16">
        <v>3050</v>
      </c>
      <c r="O46" s="16">
        <v>3050</v>
      </c>
      <c r="P46" s="16">
        <v>3050</v>
      </c>
      <c r="Q46" s="17">
        <f>P46+O46+N46+M46+L46</f>
        <v>12200</v>
      </c>
    </row>
    <row r="47" spans="1:17" x14ac:dyDescent="0.3">
      <c r="A47" s="14" t="s">
        <v>14</v>
      </c>
      <c r="B47" s="15"/>
      <c r="C47" s="86">
        <v>3750</v>
      </c>
      <c r="D47" s="86">
        <v>3750</v>
      </c>
      <c r="E47" s="86">
        <v>3750</v>
      </c>
      <c r="F47" s="86">
        <v>3750</v>
      </c>
      <c r="G47" s="17">
        <f t="shared" si="4"/>
        <v>15000</v>
      </c>
      <c r="K47" s="14" t="s">
        <v>14</v>
      </c>
      <c r="L47" s="15"/>
      <c r="M47" s="16">
        <v>3050</v>
      </c>
      <c r="N47" s="16">
        <v>3050</v>
      </c>
      <c r="O47" s="16">
        <v>3050</v>
      </c>
      <c r="P47" s="16">
        <v>3050</v>
      </c>
      <c r="Q47" s="17">
        <f>P47+O47+N47+M47+L47</f>
        <v>12200</v>
      </c>
    </row>
    <row r="48" spans="1:17" ht="15.6" x14ac:dyDescent="0.3">
      <c r="A48" s="41"/>
      <c r="B48" s="41"/>
      <c r="C48" s="49">
        <f>+C47+C46+C45+C44+C43+C42+C41+C40+C39+C38+C37+C36</f>
        <v>43800</v>
      </c>
      <c r="D48" s="49">
        <f>+D47+D46+D45+D44+D43+D42+D41+D40+D39+D38+D37+D36</f>
        <v>43800</v>
      </c>
      <c r="E48" s="49">
        <f>+E47+E46+E45+E44+E43+E42+E41+E40+E39+E38+E37+E36</f>
        <v>43800</v>
      </c>
      <c r="F48" s="49">
        <f>+F47+F46+F45+F44+F43+F42+F41+F40+F39+F38+F37+F36</f>
        <v>43800</v>
      </c>
      <c r="G48" s="49">
        <f t="shared" ref="G48" si="5">+G47+G46+G45+G44+G43+G42+G41+G40+G39+G38+G37+G36</f>
        <v>175050</v>
      </c>
      <c r="K48" s="41"/>
      <c r="L48" s="41"/>
      <c r="M48" s="49">
        <f>+M47+M46+M45+M44+M43+M42+M41+M40+M39+M38+M37+M36</f>
        <v>36600</v>
      </c>
      <c r="N48" s="49">
        <f>+N47+N46+N45+N44+N43+N42+N41+N40+N39+N38+N37+N36</f>
        <v>36600</v>
      </c>
      <c r="O48" s="49">
        <f>+O47+O46+O45+O44+O43+O42+O41+O40+O39+O38+O37+O36</f>
        <v>36600</v>
      </c>
      <c r="P48" s="49">
        <f>+P47+P46+P45+P44+P43+P42+P41+P40+P39+P38+P37+P36</f>
        <v>36600</v>
      </c>
      <c r="Q48" s="49">
        <f t="shared" ref="Q48" si="6">+Q47+Q46+Q45+Q44+Q43+Q42+Q41+Q40+Q39+Q38+Q37+Q36</f>
        <v>146400</v>
      </c>
    </row>
    <row r="50" spans="1:7" ht="33.6" x14ac:dyDescent="0.3">
      <c r="A50" s="5" t="s">
        <v>0</v>
      </c>
      <c r="D50" s="6"/>
      <c r="F50" s="6"/>
    </row>
    <row r="51" spans="1:7" x14ac:dyDescent="0.3">
      <c r="A51" s="77"/>
      <c r="B51" s="77"/>
      <c r="C51" s="78" t="s">
        <v>71</v>
      </c>
      <c r="D51" s="79" t="s">
        <v>72</v>
      </c>
      <c r="E51" s="79" t="s">
        <v>73</v>
      </c>
      <c r="F51" s="79" t="s">
        <v>74</v>
      </c>
      <c r="G51" s="79" t="s">
        <v>15</v>
      </c>
    </row>
    <row r="52" spans="1:7" ht="15.6" x14ac:dyDescent="0.3">
      <c r="A52" s="80" t="s">
        <v>18</v>
      </c>
      <c r="B52" s="11" t="s">
        <v>19</v>
      </c>
      <c r="C52" s="12" t="s">
        <v>3</v>
      </c>
      <c r="D52" s="12" t="s">
        <v>4</v>
      </c>
      <c r="E52" s="12" t="s">
        <v>5</v>
      </c>
      <c r="F52" s="12" t="s">
        <v>6</v>
      </c>
      <c r="G52" s="13" t="s">
        <v>20</v>
      </c>
    </row>
    <row r="53" spans="1:7" x14ac:dyDescent="0.3">
      <c r="A53" s="14" t="s">
        <v>3</v>
      </c>
      <c r="B53" s="15"/>
      <c r="C53" s="16">
        <f>C36-M36</f>
        <v>700</v>
      </c>
      <c r="D53" s="16">
        <f t="shared" ref="D53:F64" si="7">D36-N36</f>
        <v>700</v>
      </c>
      <c r="E53" s="16">
        <f t="shared" si="7"/>
        <v>700</v>
      </c>
      <c r="F53" s="16">
        <f t="shared" si="7"/>
        <v>700</v>
      </c>
      <c r="G53" s="17">
        <f>F53+E53+D53+C53+B53</f>
        <v>2800</v>
      </c>
    </row>
    <row r="54" spans="1:7" x14ac:dyDescent="0.3">
      <c r="A54" s="14" t="s">
        <v>62</v>
      </c>
      <c r="B54" s="15"/>
      <c r="C54" s="16">
        <f t="shared" ref="C54:C64" si="8">C37-M37</f>
        <v>100</v>
      </c>
      <c r="D54" s="16">
        <f t="shared" si="7"/>
        <v>100</v>
      </c>
      <c r="E54" s="16">
        <f t="shared" si="7"/>
        <v>100</v>
      </c>
      <c r="F54" s="16">
        <f t="shared" si="7"/>
        <v>100</v>
      </c>
      <c r="G54" s="17">
        <f>F54+E54+D54+C54+B54</f>
        <v>400</v>
      </c>
    </row>
    <row r="55" spans="1:7" x14ac:dyDescent="0.3">
      <c r="A55" s="14" t="s">
        <v>63</v>
      </c>
      <c r="B55" s="15"/>
      <c r="C55" s="16">
        <f t="shared" si="8"/>
        <v>700</v>
      </c>
      <c r="D55" s="16">
        <f t="shared" si="7"/>
        <v>700</v>
      </c>
      <c r="E55" s="16">
        <f t="shared" si="7"/>
        <v>700</v>
      </c>
      <c r="F55" s="16">
        <f t="shared" si="7"/>
        <v>700</v>
      </c>
      <c r="G55" s="17">
        <f>F55+E55+D55+C55+B55</f>
        <v>2800</v>
      </c>
    </row>
    <row r="56" spans="1:7" x14ac:dyDescent="0.3">
      <c r="A56" s="14" t="s">
        <v>64</v>
      </c>
      <c r="B56" s="15"/>
      <c r="C56" s="16">
        <f t="shared" si="8"/>
        <v>550</v>
      </c>
      <c r="D56" s="16">
        <f t="shared" si="7"/>
        <v>550</v>
      </c>
      <c r="E56" s="16">
        <f t="shared" si="7"/>
        <v>550</v>
      </c>
      <c r="F56" s="16">
        <f t="shared" si="7"/>
        <v>550</v>
      </c>
      <c r="G56" s="17">
        <f>F56+E56+D56+C56+B56</f>
        <v>2200</v>
      </c>
    </row>
    <row r="57" spans="1:7" x14ac:dyDescent="0.3">
      <c r="A57" s="14" t="s">
        <v>7</v>
      </c>
      <c r="B57" s="15"/>
      <c r="C57" s="16">
        <f t="shared" si="8"/>
        <v>700</v>
      </c>
      <c r="D57" s="16">
        <f t="shared" si="7"/>
        <v>700</v>
      </c>
      <c r="E57" s="16">
        <f t="shared" si="7"/>
        <v>700</v>
      </c>
      <c r="F57" s="16">
        <f t="shared" si="7"/>
        <v>700</v>
      </c>
      <c r="G57" s="17">
        <f>F57+E57+D57+C57+B57</f>
        <v>2800</v>
      </c>
    </row>
    <row r="58" spans="1:7" x14ac:dyDescent="0.3">
      <c r="A58" s="14" t="s">
        <v>65</v>
      </c>
      <c r="B58" s="15"/>
      <c r="C58" s="16">
        <f t="shared" si="8"/>
        <v>550</v>
      </c>
      <c r="D58" s="16">
        <f t="shared" si="7"/>
        <v>550</v>
      </c>
      <c r="E58" s="16">
        <f t="shared" si="7"/>
        <v>550</v>
      </c>
      <c r="F58" s="16">
        <f t="shared" si="7"/>
        <v>550</v>
      </c>
      <c r="G58" s="17">
        <f>F58+E58+D58+C58+B58</f>
        <v>2200</v>
      </c>
    </row>
    <row r="59" spans="1:7" x14ac:dyDescent="0.3">
      <c r="A59" s="14" t="s">
        <v>66</v>
      </c>
      <c r="B59" s="15"/>
      <c r="C59" s="16">
        <f t="shared" si="8"/>
        <v>700</v>
      </c>
      <c r="D59" s="16">
        <f t="shared" si="7"/>
        <v>700</v>
      </c>
      <c r="E59" s="16">
        <f t="shared" si="7"/>
        <v>700</v>
      </c>
      <c r="F59" s="16">
        <f t="shared" si="7"/>
        <v>700</v>
      </c>
      <c r="G59" s="17">
        <f>F59+E59+D59+C59+B59</f>
        <v>2800</v>
      </c>
    </row>
    <row r="60" spans="1:7" x14ac:dyDescent="0.3">
      <c r="A60" s="14" t="s">
        <v>10</v>
      </c>
      <c r="B60" s="15"/>
      <c r="C60" s="16">
        <f t="shared" si="8"/>
        <v>700</v>
      </c>
      <c r="D60" s="16">
        <f t="shared" si="7"/>
        <v>700</v>
      </c>
      <c r="E60" s="16">
        <f t="shared" si="7"/>
        <v>700</v>
      </c>
      <c r="F60" s="16">
        <f t="shared" si="7"/>
        <v>700</v>
      </c>
      <c r="G60" s="17">
        <f>F60+E60+D60+C60+B60</f>
        <v>2800</v>
      </c>
    </row>
    <row r="61" spans="1:7" x14ac:dyDescent="0.3">
      <c r="A61" s="14" t="s">
        <v>67</v>
      </c>
      <c r="B61" s="15"/>
      <c r="C61" s="16">
        <f t="shared" si="8"/>
        <v>550</v>
      </c>
      <c r="D61" s="16">
        <f t="shared" si="7"/>
        <v>550</v>
      </c>
      <c r="E61" s="16">
        <f t="shared" si="7"/>
        <v>550</v>
      </c>
      <c r="F61" s="16">
        <f t="shared" si="7"/>
        <v>550</v>
      </c>
      <c r="G61" s="17">
        <f>F61+E61+D61+C61+B61</f>
        <v>2200</v>
      </c>
    </row>
    <row r="62" spans="1:7" x14ac:dyDescent="0.3">
      <c r="A62" s="14" t="s">
        <v>12</v>
      </c>
      <c r="B62" s="15"/>
      <c r="C62" s="16">
        <f t="shared" si="8"/>
        <v>700</v>
      </c>
      <c r="D62" s="16">
        <f t="shared" si="7"/>
        <v>700</v>
      </c>
      <c r="E62" s="16">
        <f t="shared" si="7"/>
        <v>700</v>
      </c>
      <c r="F62" s="16">
        <f t="shared" si="7"/>
        <v>700</v>
      </c>
      <c r="G62" s="17">
        <f>F62+E62+D62+C62+B62</f>
        <v>2800</v>
      </c>
    </row>
    <row r="63" spans="1:7" x14ac:dyDescent="0.3">
      <c r="A63" s="14" t="s">
        <v>13</v>
      </c>
      <c r="B63" s="15"/>
      <c r="C63" s="16">
        <f t="shared" si="8"/>
        <v>550</v>
      </c>
      <c r="D63" s="16">
        <f t="shared" si="7"/>
        <v>550</v>
      </c>
      <c r="E63" s="16">
        <f t="shared" si="7"/>
        <v>550</v>
      </c>
      <c r="F63" s="16">
        <f t="shared" si="7"/>
        <v>550</v>
      </c>
      <c r="G63" s="17">
        <f>F63+E63+D63+C63+B63</f>
        <v>2200</v>
      </c>
    </row>
    <row r="64" spans="1:7" x14ac:dyDescent="0.3">
      <c r="A64" s="14" t="s">
        <v>14</v>
      </c>
      <c r="B64" s="15"/>
      <c r="C64" s="16">
        <f t="shared" si="8"/>
        <v>700</v>
      </c>
      <c r="D64" s="16">
        <f t="shared" si="7"/>
        <v>700</v>
      </c>
      <c r="E64" s="16">
        <f t="shared" si="7"/>
        <v>700</v>
      </c>
      <c r="F64" s="16">
        <f t="shared" si="7"/>
        <v>700</v>
      </c>
      <c r="G64" s="17">
        <f>F64+E64+D64+C64+B64</f>
        <v>2800</v>
      </c>
    </row>
    <row r="65" spans="1:7" ht="15.6" x14ac:dyDescent="0.3">
      <c r="A65" s="41"/>
      <c r="B65" s="41"/>
      <c r="C65" s="49">
        <f>+C64+C63+C62+C61+C60+C59+C58+C57+C56+C55+C54+C53</f>
        <v>7200</v>
      </c>
      <c r="D65" s="49">
        <f>+D64+D63+D62+D61+D60+D59+D58+D57+D56+D55+D54+D53</f>
        <v>7200</v>
      </c>
      <c r="E65" s="49">
        <f>+E64+E63+E62+E61+E60+E59+E58+E57+E56+E55+E54+E53</f>
        <v>7200</v>
      </c>
      <c r="F65" s="49">
        <f>+F64+F63+F62+F61+F60+F59+F58+F57+F56+F55+F54+F53</f>
        <v>7200</v>
      </c>
      <c r="G65" s="49">
        <f t="shared" ref="G65" si="9">+G64+G63+G62+G61+G60+G59+G58+G57+G56+G55+G54+G53</f>
        <v>28800</v>
      </c>
    </row>
  </sheetData>
  <dataValidations count="16">
    <dataValidation allowBlank="1" showInputMessage="1" showErrorMessage="1" prompt="Automatically updated title from Revenue (Sales) worksheet. Enter values in the Expenses table below to calculate total expenses" sqref="A33 K33 A50"/>
    <dataValidation allowBlank="1" showInputMessage="1" showErrorMessage="1" prompt="Net profit is automatically calculated for each month &amp; year based on gross profit &amp; total expenses" sqref="A48 K48 A65"/>
    <dataValidation allowBlank="1" showInputMessage="1" showErrorMessage="1" prompt="Gross profit for each month and year is automatically calculated in this row based on total sales &amp; total costs of sales" sqref="A31"/>
    <dataValidation allowBlank="1" showInputMessage="1" showErrorMessage="1" prompt="This cell is automatically updated from the projection period title in Revenue (Sales) worksheet" sqref="A32"/>
    <dataValidation allowBlank="1" showInputMessage="1" showErrorMessage="1" prompt="Automatically updated title from Revenue (Sales) worksheet. Enter values in the Cost of Sales table below to calculate total costs of sales" sqref="A19"/>
    <dataValidation allowBlank="1" showInputMessage="1" showErrorMessage="1" prompt="Enter cost of the sources listed in column B, in this column" sqref="C21:N21"/>
    <dataValidation allowBlank="1" showInputMessage="1" showErrorMessage="1" prompt="A trend chart for costs over time is in this column" sqref="B21:B22"/>
    <dataValidation allowBlank="1" showInputMessage="1" showErrorMessage="1" prompt="Enter cost of sales in this column" sqref="A21"/>
    <dataValidation allowBlank="1" showInputMessage="1" showErrorMessage="1" prompt="Annual revenue is automatically calculated in this column" sqref="G3:H3 O20 H18 G34 H5 H7 H9 H11 H13 H15 Q34 G51"/>
    <dataValidation allowBlank="1" showInputMessage="1" showErrorMessage="1" prompt="Enter a title for the projection period for which total sales are calculated" sqref="A1"/>
    <dataValidation allowBlank="1" showInputMessage="1" showErrorMessage="1" prompt="Projection title is in this cell. Enter values in the Revenue table, below, to calculate total sales" sqref="A2"/>
    <dataValidation allowBlank="1" showInputMessage="1" showErrorMessage="1" prompt="The dates in this row are automatically updated based on the starting month of fiscal year. To change starting month, modify cell AC2" sqref="M34 C20 C34 C3:F3 C51"/>
    <dataValidation allowBlank="1" showInputMessage="1" showErrorMessage="1" prompt="Automatically updated month" sqref="D20:N20 D34:F34 N34:P34 D51:F51"/>
    <dataValidation allowBlank="1" showInputMessage="1" showErrorMessage="1" prompt="Enter revenue generated by sales in this column" sqref="A4 A35 K35 A52"/>
    <dataValidation allowBlank="1" showInputMessage="1" showErrorMessage="1" prompt="A trend chart for revenue over time is in this column" sqref="B4 B35 L35 B52"/>
    <dataValidation allowBlank="1" showInputMessage="1" showErrorMessage="1" prompt="Enter revenue for sources listed in column B in this column" sqref="C35:F35 C4:F4 M35:P35 C52:F52"/>
  </dataValidations>
  <pageMargins left="0.7" right="0.7" top="0.75" bottom="0.75" header="0.3" footer="0.3"/>
  <legacy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'Weekly Savings'!$D$5:$G$5</xm:f>
              <xm:sqref>B5</xm:sqref>
            </x14:sparkline>
            <x14:sparkline>
              <xm:f>'Weekly Savings'!$D$6:$G$6</xm:f>
              <xm:sqref>B6</xm:sqref>
            </x14:sparkline>
            <x14:sparkline>
              <xm:f>'Weekly Savings'!$D$7:$G$7</xm:f>
              <xm:sqref>B7</xm:sqref>
            </x14:sparkline>
            <x14:sparkline>
              <xm:f>'Weekly Savings'!$D$8:$G$8</xm:f>
              <xm:sqref>B8</xm:sqref>
            </x14:sparkline>
            <x14:sparkline>
              <xm:f>'Weekly Savings'!$D$9:$G$9</xm:f>
              <xm:sqref>B9</xm:sqref>
            </x14:sparkline>
            <x14:sparkline>
              <xm:f>'Weekly Savings'!$D$10:$G$10</xm:f>
              <xm:sqref>B10</xm:sqref>
            </x14:sparkline>
            <x14:sparkline>
              <xm:f>'Weekly Savings'!$D$11:$G$11</xm:f>
              <xm:sqref>B11</xm:sqref>
            </x14:sparkline>
            <x14:sparkline>
              <xm:f>'Weekly Savings'!$D$12:$G$12</xm:f>
              <xm:sqref>B12</xm:sqref>
            </x14:sparkline>
            <x14:sparkline>
              <xm:f>'Weekly Savings'!$D$13:$G$13</xm:f>
              <xm:sqref>B13</xm:sqref>
            </x14:sparkline>
            <x14:sparkline>
              <xm:f>'Weekly Savings'!$D$14:$G$14</xm:f>
              <xm:sqref>B14</xm:sqref>
            </x14:sparkline>
            <x14:sparkline>
              <xm:f>'Weekly Savings'!$D$15:$G$15</xm:f>
              <xm:sqref>B15</xm:sqref>
            </x14:sparkline>
            <x14:sparkline>
              <xm:f>'Weekly Savings'!$D$16:$G$16</xm:f>
              <xm:sqref>B16</xm:sqref>
            </x14:sparkline>
            <x14:sparkline>
              <xm:f>'Weekly Savings'!$D$17:$G$17</xm:f>
              <xm:sqref>B17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'Weekly Savings'!C18:G18</xm:f>
              <xm:sqref>B18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'Weekly Savings'!$D$5:$G$5</xm:f>
              <xm:sqref>B53</xm:sqref>
            </x14:sparkline>
            <x14:sparkline>
              <xm:f>'Weekly Savings'!$D$6:$G$6</xm:f>
              <xm:sqref>B54</xm:sqref>
            </x14:sparkline>
            <x14:sparkline>
              <xm:f>'Weekly Savings'!$D$7:$G$7</xm:f>
              <xm:sqref>B55</xm:sqref>
            </x14:sparkline>
            <x14:sparkline>
              <xm:f>'Weekly Savings'!$D$8:$G$8</xm:f>
              <xm:sqref>B56</xm:sqref>
            </x14:sparkline>
            <x14:sparkline>
              <xm:f>'Weekly Savings'!$D$9:$G$9</xm:f>
              <xm:sqref>B57</xm:sqref>
            </x14:sparkline>
            <x14:sparkline>
              <xm:f>'Weekly Savings'!$D$10:$G$10</xm:f>
              <xm:sqref>B58</xm:sqref>
            </x14:sparkline>
            <x14:sparkline>
              <xm:f>'Weekly Savings'!$D$11:$G$11</xm:f>
              <xm:sqref>B59</xm:sqref>
            </x14:sparkline>
            <x14:sparkline>
              <xm:f>'Weekly Savings'!$D$12:$G$12</xm:f>
              <xm:sqref>B60</xm:sqref>
            </x14:sparkline>
            <x14:sparkline>
              <xm:f>'Weekly Savings'!$D$13:$G$13</xm:f>
              <xm:sqref>B61</xm:sqref>
            </x14:sparkline>
            <x14:sparkline>
              <xm:f>'Weekly Savings'!$D$14:$G$14</xm:f>
              <xm:sqref>B62</xm:sqref>
            </x14:sparkline>
            <x14:sparkline>
              <xm:f>'Weekly Savings'!$D$15:$G$15</xm:f>
              <xm:sqref>B63</xm:sqref>
            </x14:sparkline>
            <x14:sparkline>
              <xm:f>'Weekly Savings'!$D$16:$G$16</xm:f>
              <xm:sqref>B64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'Weekly Savings'!$D$5:$G$5</xm:f>
              <xm:sqref>B36</xm:sqref>
            </x14:sparkline>
            <x14:sparkline>
              <xm:f>'Weekly Savings'!$D$6:$G$6</xm:f>
              <xm:sqref>B37</xm:sqref>
            </x14:sparkline>
            <x14:sparkline>
              <xm:f>'Weekly Savings'!$D$7:$G$7</xm:f>
              <xm:sqref>B38</xm:sqref>
            </x14:sparkline>
            <x14:sparkline>
              <xm:f>'Weekly Savings'!$D$8:$G$8</xm:f>
              <xm:sqref>B39</xm:sqref>
            </x14:sparkline>
            <x14:sparkline>
              <xm:f>'Weekly Savings'!$D$9:$G$9</xm:f>
              <xm:sqref>B40</xm:sqref>
            </x14:sparkline>
            <x14:sparkline>
              <xm:f>'Weekly Savings'!$D$10:$G$10</xm:f>
              <xm:sqref>B41</xm:sqref>
            </x14:sparkline>
            <x14:sparkline>
              <xm:f>'Weekly Savings'!$D$11:$G$11</xm:f>
              <xm:sqref>B42</xm:sqref>
            </x14:sparkline>
            <x14:sparkline>
              <xm:f>'Weekly Savings'!$D$12:$G$12</xm:f>
              <xm:sqref>B43</xm:sqref>
            </x14:sparkline>
            <x14:sparkline>
              <xm:f>'Weekly Savings'!$D$13:$G$13</xm:f>
              <xm:sqref>B44</xm:sqref>
            </x14:sparkline>
            <x14:sparkline>
              <xm:f>'Weekly Savings'!$D$14:$G$14</xm:f>
              <xm:sqref>B45</xm:sqref>
            </x14:sparkline>
            <x14:sparkline>
              <xm:f>'Weekly Savings'!$D$15:$G$15</xm:f>
              <xm:sqref>B46</xm:sqref>
            </x14:sparkline>
            <x14:sparkline>
              <xm:f>'Weekly Savings'!$D$16:$G$16</xm:f>
              <xm:sqref>B47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'Weekly Savings'!$D$5:$G$5</xm:f>
              <xm:sqref>L36</xm:sqref>
            </x14:sparkline>
            <x14:sparkline>
              <xm:f>'Weekly Savings'!$D$6:$G$6</xm:f>
              <xm:sqref>L37</xm:sqref>
            </x14:sparkline>
            <x14:sparkline>
              <xm:f>'Weekly Savings'!$D$7:$G$7</xm:f>
              <xm:sqref>L38</xm:sqref>
            </x14:sparkline>
            <x14:sparkline>
              <xm:f>'Weekly Savings'!$D$8:$G$8</xm:f>
              <xm:sqref>L39</xm:sqref>
            </x14:sparkline>
            <x14:sparkline>
              <xm:f>'Weekly Savings'!$D$9:$G$9</xm:f>
              <xm:sqref>L40</xm:sqref>
            </x14:sparkline>
            <x14:sparkline>
              <xm:f>'Weekly Savings'!$D$10:$G$10</xm:f>
              <xm:sqref>L41</xm:sqref>
            </x14:sparkline>
            <x14:sparkline>
              <xm:f>'Weekly Savings'!$D$11:$G$11</xm:f>
              <xm:sqref>L42</xm:sqref>
            </x14:sparkline>
            <x14:sparkline>
              <xm:f>'Weekly Savings'!$D$12:$G$12</xm:f>
              <xm:sqref>L43</xm:sqref>
            </x14:sparkline>
            <x14:sparkline>
              <xm:f>'Weekly Savings'!$D$13:$G$13</xm:f>
              <xm:sqref>L44</xm:sqref>
            </x14:sparkline>
            <x14:sparkline>
              <xm:f>'Weekly Savings'!$D$14:$G$14</xm:f>
              <xm:sqref>L45</xm:sqref>
            </x14:sparkline>
            <x14:sparkline>
              <xm:f>'Weekly Savings'!$D$15:$G$15</xm:f>
              <xm:sqref>L46</xm:sqref>
            </x14:sparkline>
            <x14:sparkline>
              <xm:f>'Weekly Savings'!$D$16:$G$16</xm:f>
              <xm:sqref>L47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'Weekly Savings'!C23:N23</xm:f>
              <xm:sqref>B23</xm:sqref>
            </x14:sparkline>
            <x14:sparkline>
              <xm:f>'Weekly Savings'!C24:N24</xm:f>
              <xm:sqref>B24</xm:sqref>
            </x14:sparkline>
            <x14:sparkline>
              <xm:f>'Weekly Savings'!C25:N25</xm:f>
              <xm:sqref>B25</xm:sqref>
            </x14:sparkline>
            <x14:sparkline>
              <xm:f>'Weekly Savings'!C26:N26</xm:f>
              <xm:sqref>B26</xm:sqref>
            </x14:sparkline>
            <x14:sparkline>
              <xm:f>'Weekly Savings'!C27:N27</xm:f>
              <xm:sqref>B27</xm:sqref>
            </x14:sparkline>
            <x14:sparkline>
              <xm:f>'Weekly Savings'!C28:N28</xm:f>
              <xm:sqref>B28</xm:sqref>
            </x14:sparkline>
            <x14:sparkline>
              <xm:f>'Weekly Savings'!C29:N29</xm:f>
              <xm:sqref>B29</xm:sqref>
            </x14:sparkline>
            <x14:sparkline>
              <xm:f>'Weekly Savings'!C30:N30</xm:f>
              <xm:sqref>B30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 Managment</vt:lpstr>
      <vt:lpstr>Weekly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Stephenson</dc:creator>
  <cp:lastModifiedBy>April Stephenson</cp:lastModifiedBy>
  <dcterms:created xsi:type="dcterms:W3CDTF">2017-04-25T20:04:49Z</dcterms:created>
  <dcterms:modified xsi:type="dcterms:W3CDTF">2017-08-13T23:24:10Z</dcterms:modified>
</cp:coreProperties>
</file>